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worksheets/sheet10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6247ca38a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7d58f689d67a4a87"/>
    <x:sheet xmlns:r="http://schemas.openxmlformats.org/officeDocument/2006/relationships" name="UAL Inputs" sheetId="2" r:id="Rfa2b843f709d49bb"/>
    <x:sheet xmlns:r="http://schemas.openxmlformats.org/officeDocument/2006/relationships" name="UAL DCF" sheetId="3" r:id="Ra7578c5e892d42f4"/>
    <x:sheet xmlns:r="http://schemas.openxmlformats.org/officeDocument/2006/relationships" name="UAL Scenarios" sheetId="4" r:id="R49a6e100d91e4740"/>
    <x:sheet xmlns:r="http://schemas.openxmlformats.org/officeDocument/2006/relationships" name="WACC Build" sheetId="5" r:id="R91237f6caa8f4d5f"/>
    <x:sheet xmlns:r="http://schemas.openxmlformats.org/officeDocument/2006/relationships" name="UAL Sensitivity" sheetId="6" r:id="Rd4208c7e705743c1"/>
    <x:sheet xmlns:r="http://schemas.openxmlformats.org/officeDocument/2006/relationships" name="Checks" sheetId="7" r:id="Rcf2625fa0ae4485a"/>
    <x:sheet xmlns:r="http://schemas.openxmlformats.org/officeDocument/2006/relationships" name="Sources" sheetId="8" r:id="R3d3f2bba847e425b"/>
  </x:sheets>
  <x:calcPr calcId="0" fullCalcOnLoad="1"/>
</x:workbook>
</file>

<file path=xl/comments1.xml><?xml version="1.0" encoding="utf-8"?>
<x:comments xmlns:x="http://schemas.openxmlformats.org/spreadsheetml/2006/main">
  <x:authors>
    <x:author>tc={EBC357AB-4E10-4AA3-B35B-0143CD470D13}</x:author>
    <x:author>tc={4CFC7201-B0B8-487A-B330-437E8A0FD271}</x:author>
    <x:author>tc={14904339-9A76-4684-944C-791149FDBF19}</x:author>
    <x:author>tc={DA846E62-4DBA-41A8-9A1B-B0C2C4A1EC09}</x:author>
    <x:author>tc={0762888E-A0EE-4F7F-8660-55BF3064BE62}</x:author>
    <x:author>tc={694CAA02-E0AD-4ADF-8AD4-6690BDABBCDF}</x:author>
    <x:author>tc={E9E8E0D0-C314-43FC-90D3-0332B75A746A}</x:author>
    <x:author>tc={99780B67-61A1-4513-AEAD-6F45964623B8}</x:author>
  </x:authors>
  <x:commentList>
    <x:comment ref="D9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United Airlines Holdings, Inc. 2024 Form 10-K, filed with the SEC. See Sources sheet.</x:t>
        </x:r>
      </x:text>
    </x:comment>
    <x:comment ref="D1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UAL 2024 Form 10-K operating statistics. See Sources sheet.</x:t>
        </x:r>
      </x:text>
    </x:comment>
    <x:comment ref="B40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United Airlines official historical price lookup. Closing price on August 29, 2025: $105.00.</x:t>
        </x:r>
      </x:text>
    </x:comment>
    <x:comment ref="B41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Modeling assumption. Default 0% intentionally recreates a conservative/original-style enterprise-value bridge; set to 100% for a liquidity-adjusted view.</x:t>
        </x:r>
      </x:text>
    </x:comment>
    <x:comment ref="B49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Reconstructed base-case forecast assumption. This is not company guidance.</x:t>
        </x:r>
      </x:text>
    </x:comment>
    <x:comment ref="B33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United Airlines Q2 2025 Form 10-Q, cash and cash equivalents at June 30, 2025.</x:t>
        </x:r>
      </x:text>
    </x:comment>
    <x:comment ref="B35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United Airlines Q2 2025 Form 10-Q, current debt and finance lease liabilities at June 30, 2025.</x:t>
        </x:r>
      </x:text>
    </x:comment>
    <x:comment ref="B39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United Airlines Q2 2025 Form 10-Q, shares outstanding at July 10, 2025; modeled in millions.</x:t>
        </x:r>
      </x:text>
    </x:comment>
  </x:commentList>
</x:comments>
</file>

<file path=xl/comments2.xml><?xml version="1.0" encoding="utf-8"?>
<x:comments xmlns:x="http://schemas.openxmlformats.org/spreadsheetml/2006/main">
  <x:authors>
    <x:author>tc={E1574C2B-2E25-45FA-9251-0F817F4E29A6}</x:author>
    <x:author>tc={67ECAC2D-D129-4035-9A73-7070E1E4918D}</x:author>
  </x:authors>
  <x:commentList>
    <x:comment ref="B41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Enterprise value equals the present value of forecast UFCF plus the present value of the terminal value. Base case is designed to reproduce the surviving project result near $85.7B.</x:t>
        </x:r>
      </x:text>
    </x:comment>
    <x:comment ref="B46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Implied share value uses the conservative adjusted-net-debt bridge. See UAL Inputs for an editable short-term-investments treatment.</x:t>
        </x:r>
      </x:text>
    </x:comment>
  </x:commentList>
</x:comments>
</file>

<file path=xl/comments3.xml><?xml version="1.0" encoding="utf-8"?>
<x:comments xmlns:x="http://schemas.openxmlformats.org/spreadsheetml/2006/main">
  <x:authors>
    <x:author>tc={3A8AFAF8-F914-4AD7-A3DF-DB79B6197779}</x:author>
    <x:author>tc={D8CC2541-AAB7-48E2-8605-5D058D0E38F0}</x:author>
  </x:authors>
  <x:commentList>
    <x:comment ref="B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Scenario assumption. Bear WACC reflects a higher required return than the base case.</x:t>
        </x:r>
      </x:text>
    </x:comment>
    <x:comment ref="B14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Scenario assumption: lower load factor than base. See scenario overview for WACC/TGR.</x:t>
        </x:r>
      </x:text>
    </x:comment>
  </x:commentList>
</x:comments>
</file>

<file path=xl/comments6.xml><?xml version="1.0" encoding="utf-8"?>
<x:comments xmlns:x="http://schemas.openxmlformats.org/spreadsheetml/2006/main">
  <x:authors>
    <x:author>tc={15EB6522-1303-4799-8312-CFE8F7F3574A}</x:author>
    <x:author>tc={0706138A-4ED1-4C65-A7A2-1E5071F3C5F4}</x:author>
    <x:author>tc={0D5F8683-9173-46D4-9C18-A020EF56A85B}</x:author>
    <x:author>tc={E8C3D6D4-448E-4EFA-8756-674E1E864662}</x:author>
  </x:authors>
  <x:commentList>
    <x:comment ref="B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U.S. Treasury daily par yield curve, 10-year yield of 4.23% on August 29, 2025.</x:t>
        </x:r>
      </x:text>
    </x:comment>
    <x:comment ref="B6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Analyst-selected normalized ERP. Cross-checked against Damodaran historical implied ERP and long-run realized stock-versus-bond premiums.</x:t>
        </x:r>
      </x:text>
    </x:comment>
    <x:comment ref="B7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Calculated from five years of weekly adjusted prices for UAL versus SPY through August 29, 2025; airline peers provide a reasonableness cross-check.</x:t>
        </x:r>
      </x:text>
    </x:comment>
    <x:comment ref="F26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United Airlines 2024 Form 10-K. Cost equals 2024 interest expense plus capitalized interest divided by average 2023–2024 debt and finance lease liabilities.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0">
    <x:numFmt numFmtId="200" formatCode="#,##0;[Red](#,##0);-"/>
    <x:numFmt numFmtId="201" formatCode="0.0%"/>
    <x:numFmt numFmtId="202" formatCode="0.0000"/>
    <x:numFmt numFmtId="203" formatCode="0.00"/>
    <x:numFmt numFmtId="204" formatCode="0.000000"/>
    <x:numFmt numFmtId="205" formatCode="0.000"/>
    <x:numFmt numFmtId="206" formatCode="$0.00"/>
    <x:numFmt numFmtId="207" formatCode="$#,##0;[Red]($#,##0);-"/>
    <x:numFmt numFmtId="208" formatCode="#,##0.0;[Red](#,##0.0);-"/>
    <x:numFmt numFmtId="209" formatCode="0.000x"/>
    <x:numFmt numFmtId="210" formatCode="$#,##0.0;[Red]($#,##0.0);-"/>
    <x:numFmt numFmtId="211" formatCode="0.0 &quot;bps&quot;"/>
    <x:numFmt numFmtId="212" formatCode="0.00x"/>
    <x:numFmt numFmtId="213" formatCode="0.0 &quot;pts&quot;"/>
    <x:numFmt numFmtId="214" formatCode="$0.00;[Red]($0.00);-"/>
    <x:numFmt numFmtId="215" formatCode="0%;[Red](0%);-"/>
    <x:numFmt numFmtId="216" formatCode="0.0%;[Red](0.0%);-"/>
    <x:numFmt numFmtId="217" formatCode="0.00%;[Red](0.00%);-"/>
    <x:numFmt numFmtId="218" formatCode="0.0000;[Red](0.0000);-"/>
    <x:numFmt numFmtId="219" formatCode="0.000;[Red](0.000);-"/>
  </x:numFmts>
  <x:fonts count="21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2937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b/>
      <x:sz val="11"/>
      <x:color rgb="FF1F2937"/>
      <x:name val="Carlito"/>
    </x:font>
    <x:font>
      <x:b/>
      <x:sz val="11"/>
      <x:color rgb="FF008000"/>
      <x:name val="Carlito"/>
    </x:font>
    <x:font>
      <x:sz val="11"/>
      <x:color rgb="FF2F75B5"/>
      <x:name val="Carlito"/>
    </x:font>
    <x:font>
      <x:sz val="11"/>
      <x:color rgb="FF1F2937"/>
      <x:name val="Carlito"/>
    </x:font>
    <x:font>
      <x:i/>
      <x:sz val="10"/>
      <x:color rgb="FF666666"/>
      <x:name val="Carlito"/>
    </x:font>
    <x:font>
      <x:sz val="11"/>
      <x:color rgb="FF000000"/>
      <x:name val="Carlito"/>
    </x:font>
    <x:font>
      <x:b/>
      <x:sz val="11"/>
      <x:color rgb="FF000000"/>
      <x:name val="Carlito"/>
    </x:font>
    <x:font>
      <x:i/>
      <x:sz val="10"/>
      <x:color rgb="FF444444"/>
      <x:name val="Carlito"/>
    </x:font>
    <x:font>
      <x:sz val="10"/>
      <x:color rgb="FF666666"/>
      <x:name val="Carlito"/>
    </x:font>
    <x:font>
      <x:b/>
      <x:sz val="10"/>
      <x:color rgb="FF666666"/>
      <x:name val="Carlito"/>
    </x:font>
    <x:font>
      <x:sz val="11"/>
      <x:color rgb="FF000000"/>
      <x:name val="Carlito"/>
    </x:font>
    <x:font>
      <x:sz val="10"/>
      <x:color rgb="FF000000"/>
      <x:name val="Carlito"/>
    </x:font>
    <x:font>
      <x:sz val="10"/>
      <x:color rgb="FF2F75B5"/>
      <x:name val="Carlito"/>
    </x:font>
    <x:font>
      <x:sz val="11"/>
      <x:color rgb="FF000000"/>
      <x:name val="Carlito"/>
    </x:font>
    <x:font>
      <x:sz val="11"/>
      <x:color rgb="FF000000"/>
      <x:name val="Carlito"/>
    </x:font>
  </x:fonts>
  <x:fills count="1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3F5F7"/>
      </x:patternFill>
    </x:fill>
    <x:fill>
      <x:patternFill patternType="solid">
        <x:fgColor rgb="FF2F75B5"/>
      </x:patternFill>
    </x:fill>
    <x:fill>
      <x:patternFill patternType="solid">
        <x:fgColor rgb="FFFFF2CC"/>
      </x:patternFill>
    </x:fill>
    <x:fill>
      <x:patternFill patternType="solid">
        <x:fgColor rgb="FFE7E6E6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2F75B5"/>
      </x:patternFill>
    </x:fill>
    <x:fill>
      <x:patternFill patternType="solid">
        <x:fgColor rgb="FF17324D"/>
      </x:patternFill>
    </x:fill>
    <x:fill>
      <x:patternFill patternType="solid">
        <x:fgColor rgb="FFE2F0D9"/>
      </x:patternFill>
    </x:fill>
    <x:fill>
      <x:patternFill patternType="solid">
        <x:fgColor rgb="FFF2F2F2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7">
    <x:border/>
    <x:border>
      <x:bottom style="thin">
        <x:color rgb="FF17324D"/>
      </x:bottom>
    </x:border>
    <x:border>
      <x:left style="thin">
        <x:color rgb="FF17324D"/>
      </x:left>
      <x:right style="thin">
        <x:color rgb="FF17324D"/>
      </x:right>
      <x:top style="thin">
        <x:color rgb="FF17324D"/>
      </x:top>
    </x:border>
    <x:border>
      <x:left style="thin">
        <x:color rgb="FF17324D"/>
      </x:left>
      <x:right style="thin">
        <x:color rgb="FF17324D"/>
      </x:right>
    </x:border>
    <x:border>
      <x:left style="thin">
        <x:color rgb="FF17324D"/>
      </x:left>
      <x:right style="thin">
        <x:color rgb="FF17324D"/>
      </x:right>
      <x:bottom style="thin">
        <x:color rgb="FF17324D"/>
      </x:bottom>
    </x:border>
    <x:border>
      <x:left style="thin">
        <x:color rgb="FF17324D"/>
      </x:left>
      <x:right style="thin">
        <x:color rgb="FF17324D"/>
      </x:right>
      <x:top style="thin">
        <x:color rgb="FF17324D"/>
      </x:top>
      <x:bottom style="thin">
        <x:color rgb="FF17324D"/>
      </x:bottom>
    </x:border>
    <x:border>
      <x:left style="thick">
        <x:color rgb="FF17324D"/>
      </x:left>
      <x:right style="thick">
        <x:color rgb="FF17324D"/>
      </x:right>
      <x:top style="thick">
        <x:color rgb="FF17324D"/>
      </x:top>
      <x:bottom style="thick">
        <x:color rgb="FF17324D"/>
      </x:bottom>
    </x:border>
  </x:borders>
  <x:cellStyleXfs count="1">
    <x:xf numFmtId="0" fontId="0" fillId="0" borderId="0"/>
  </x:cellStyleXfs>
  <x:cellXfs count="20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202" fontId="4" fillId="0" borderId="0" xfId="0" applyNumberFormat="1" applyFont="1" applyFill="1" applyBorder="1"/>
    <x:xf numFmtId="203" fontId="4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4" fontId="5" fillId="0" borderId="0" xfId="0" applyNumberFormat="1" applyFont="1" applyFill="1" applyBorder="1"/>
    <x:xf numFmtId="0" fontId="6" fillId="0" borderId="0" xfId="0" applyNumberFormat="1" applyFont="1" applyFill="1" applyBorder="1"/>
    <x:xf numFmtId="205" fontId="4" fillId="0" borderId="0" xfId="0" applyNumberFormat="1" applyFont="1" applyFill="1" applyBorder="1"/>
    <x:xf numFmtId="206" fontId="4" fillId="0" borderId="0" xfId="0" applyNumberFormat="1" applyFont="1" applyFill="1" applyBorder="1"/>
    <x:xf numFmtId="207" fontId="5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center" wrapText="1"/>
    </x:xf>
    <x:xf numFmtId="0" fontId="3" fillId="6" borderId="1" xfId="0" applyNumberFormat="1" applyFont="1" applyFill="1" applyBorder="1" applyAlignment="1">
      <x:alignment horizontal="center" vertical="center" wrapText="1"/>
    </x:xf>
    <x:xf numFmtId="0" fontId="6" fillId="6" borderId="1" xfId="0" applyNumberFormat="1" applyFont="1" applyFill="1" applyBorder="1" applyAlignment="1">
      <x:alignment horizontal="center" vertical="center" wrapText="1"/>
    </x:xf>
    <x:xf numFmtId="0" fontId="3" fillId="7" borderId="1" xfId="0" applyNumberFormat="1" applyFont="1" applyFill="1" applyBorder="1" applyAlignment="1">
      <x:alignment horizontal="center" vertical="center" wrapText="1"/>
    </x:xf>
    <x:xf numFmtId="0" fontId="6" fillId="7" borderId="1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/>
    <x:xf numFmtId="208" fontId="5" fillId="0" borderId="0" xfId="0" applyNumberFormat="1" applyFont="1" applyFill="1" applyBorder="1"/>
    <x:xf numFmtId="208" fontId="0" fillId="0" borderId="0" xfId="0" applyNumberFormat="1" applyFont="1" applyFill="1" applyBorder="1"/>
    <x:xf numFmtId="208" fontId="5" fillId="3" borderId="0" xfId="0" applyNumberFormat="1" applyFont="1" applyFill="1" applyBorder="1"/>
    <x:xf numFmtId="208" fontId="0" fillId="3" borderId="0" xfId="0" applyNumberFormat="1" applyFont="1" applyFill="1" applyBorder="1"/>
    <x:xf numFmtId="200" fontId="0" fillId="0" borderId="0" xfId="0" applyNumberFormat="1" applyFont="1" applyFill="1" applyBorder="1"/>
    <x:xf numFmtId="201" fontId="5" fillId="0" borderId="0" xfId="0" applyNumberFormat="1" applyFont="1" applyFill="1" applyBorder="1"/>
    <x:xf numFmtId="201" fontId="0" fillId="0" borderId="0" xfId="0" applyNumberFormat="1" applyFont="1" applyFill="1" applyBorder="1"/>
    <x:xf numFmtId="202" fontId="5" fillId="0" borderId="0" xfId="0" applyNumberFormat="1" applyFont="1" applyFill="1" applyBorder="1"/>
    <x:xf numFmtId="202" fontId="0" fillId="0" borderId="0" xfId="0" applyNumberFormat="1" applyFont="1" applyFill="1" applyBorder="1"/>
    <x:xf numFmtId="203" fontId="5" fillId="0" borderId="0" xfId="0" applyNumberFormat="1" applyFont="1" applyFill="1" applyBorder="1"/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209" fontId="0" fillId="0" borderId="0" xfId="0" applyNumberFormat="1" applyFont="1" applyFill="1" applyBorder="1"/>
    <x:xf numFmtId="210" fontId="0" fillId="0" borderId="0" xfId="0" applyNumberFormat="1" applyFont="1" applyFill="1" applyBorder="1"/>
    <x:xf numFmtId="205" fontId="0" fillId="0" borderId="0" xfId="0" applyNumberFormat="1" applyFont="1" applyFill="1" applyBorder="1"/>
    <x:xf numFmtId="206" fontId="0" fillId="0" borderId="0" xfId="0" applyNumberFormat="1" applyFont="1" applyFill="1" applyBorder="1"/>
    <x:xf numFmtId="0" fontId="0" fillId="7" borderId="0" xfId="0" applyNumberFormat="1" applyFont="1" applyFill="1" applyBorder="1"/>
    <x:xf numFmtId="210" fontId="0" fillId="7" borderId="0" xfId="0" applyNumberFormat="1" applyFont="1" applyFill="1" applyBorder="1"/>
    <x:xf numFmtId="0" fontId="6" fillId="7" borderId="0" xfId="0" applyNumberFormat="1" applyFont="1" applyFill="1" applyBorder="1"/>
    <x:xf numFmtId="210" fontId="6" fillId="7" borderId="0" xfId="0" applyNumberFormat="1" applyFont="1" applyFill="1" applyBorder="1"/>
    <x:xf numFmtId="0" fontId="0" fillId="8" borderId="0" xfId="0" applyNumberFormat="1" applyFont="1" applyFill="1" applyBorder="1"/>
    <x:xf numFmtId="206" fontId="0" fillId="8" borderId="0" xfId="0" applyNumberFormat="1" applyFont="1" applyFill="1" applyBorder="1"/>
    <x:xf numFmtId="201" fontId="0" fillId="8" borderId="0" xfId="0" applyNumberFormat="1" applyFont="1" applyFill="1" applyBorder="1"/>
    <x:xf numFmtId="0" fontId="6" fillId="8" borderId="0" xfId="0" applyNumberFormat="1" applyFont="1" applyFill="1" applyBorder="1"/>
    <x:xf numFmtId="206" fontId="6" fillId="8" borderId="0" xfId="0" applyNumberFormat="1" applyFont="1" applyFill="1" applyBorder="1"/>
    <x:xf numFmtId="201" fontId="6" fillId="8" borderId="0" xfId="0" applyNumberFormat="1" applyFont="1" applyFill="1" applyBorder="1"/>
    <x:xf numFmtId="208" fontId="4" fillId="0" borderId="0" xfId="0" applyNumberFormat="1" applyFont="1" applyFill="1" applyBorder="1"/>
    <x:xf numFmtId="208" fontId="0" fillId="7" borderId="0" xfId="0" applyNumberFormat="1" applyFont="1" applyFill="1" applyBorder="1"/>
    <x:xf numFmtId="206" fontId="0" fillId="7" borderId="0" xfId="0" applyNumberFormat="1" applyFont="1" applyFill="1" applyBorder="1"/>
    <x:xf numFmtId="201" fontId="0" fillId="7" borderId="0" xfId="0" applyNumberFormat="1" applyFont="1" applyFill="1" applyBorder="1"/>
    <x:xf numFmtId="201" fontId="4" fillId="8" borderId="0" xfId="0" applyNumberFormat="1" applyFont="1" applyFill="1" applyBorder="1"/>
    <x:xf numFmtId="210" fontId="0" fillId="8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211" fontId="0" fillId="0" borderId="0" xfId="0" applyNumberFormat="1" applyFont="1" applyFill="1" applyBorder="1"/>
    <x:xf numFmtId="211" fontId="0" fillId="7" borderId="0" xfId="0" applyNumberFormat="1" applyFont="1" applyFill="1" applyBorder="1"/>
    <x:xf numFmtId="211" fontId="0" fillId="8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207" fontId="0" fillId="0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 wrapText="1"/>
    </x:xf>
    <x:xf numFmtId="212" fontId="0" fillId="0" borderId="0" xfId="0" applyNumberFormat="1" applyFont="1" applyFill="1" applyBorder="1"/>
    <x:xf numFmtId="207" fontId="0" fillId="7" borderId="0" xfId="0" applyNumberFormat="1" applyFont="1" applyFill="1" applyBorder="1"/>
    <x:xf numFmtId="212" fontId="0" fillId="7" borderId="0" xfId="0" applyNumberFormat="1" applyFont="1" applyFill="1" applyBorder="1"/>
    <x:xf numFmtId="207" fontId="4" fillId="7" borderId="0" xfId="0" applyNumberFormat="1" applyFont="1" applyFill="1" applyBorder="1"/>
    <x:xf numFmtId="207" fontId="4" fillId="0" borderId="0" xfId="0" applyNumberFormat="1" applyFont="1" applyFill="1" applyBorder="1"/>
    <x:xf numFmtId="201" fontId="5" fillId="7" borderId="0" xfId="0" applyNumberFormat="1" applyFont="1" applyFill="1" applyBorder="1"/>
    <x:xf numFmtId="212" fontId="5" fillId="7" borderId="0" xfId="0" applyNumberFormat="1" applyFont="1" applyFill="1" applyBorder="1"/>
    <x:xf numFmtId="212" fontId="5" fillId="0" borderId="0" xfId="0" applyNumberFormat="1" applyFont="1" applyFill="1" applyBorder="1"/>
    <x:xf numFmtId="213" fontId="0" fillId="0" borderId="0" xfId="0" applyNumberFormat="1" applyFont="1" applyFill="1" applyBorder="1"/>
    <x:xf numFmtId="213" fontId="0" fillId="8" borderId="0" xfId="0" applyNumberFormat="1" applyFont="1" applyFill="1" applyBorder="1"/>
    <x:xf numFmtId="212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206" fontId="7" fillId="0" borderId="0" xfId="0" applyNumberFormat="1" applyFont="1" applyFill="1" applyBorder="1"/>
    <x:xf numFmtId="201" fontId="7" fillId="0" borderId="0" xfId="0" applyNumberFormat="1" applyFont="1" applyFill="1" applyBorder="1"/>
    <x:xf numFmtId="210" fontId="7" fillId="0" borderId="0" xfId="0" applyNumberFormat="1" applyFont="1" applyFill="1" applyBorder="1"/>
    <x:xf numFmtId="211" fontId="7" fillId="0" borderId="0" xfId="0" applyNumberFormat="1" applyFont="1" applyFill="1" applyBorder="1"/>
    <x:xf numFmtId="213" fontId="7" fillId="0" borderId="0" xfId="0" applyNumberFormat="1" applyFont="1" applyFill="1" applyBorder="1"/>
    <x:xf numFmtId="212" fontId="7" fillId="0" borderId="0" xfId="0" applyNumberFormat="1" applyFont="1" applyFill="1" applyBorder="1"/>
    <x:xf numFmtId="206" fontId="7" fillId="7" borderId="0" xfId="0" applyNumberFormat="1" applyFont="1" applyFill="1" applyBorder="1"/>
    <x:xf numFmtId="201" fontId="7" fillId="7" borderId="0" xfId="0" applyNumberFormat="1" applyFont="1" applyFill="1" applyBorder="1"/>
    <x:xf numFmtId="210" fontId="7" fillId="7" borderId="0" xfId="0" applyNumberFormat="1" applyFont="1" applyFill="1" applyBorder="1"/>
    <x:xf numFmtId="0" fontId="7" fillId="7" borderId="0" xfId="0" applyNumberFormat="1" applyFont="1" applyFill="1" applyBorder="1"/>
    <x:xf numFmtId="211" fontId="7" fillId="8" borderId="0" xfId="0" applyNumberFormat="1" applyFont="1" applyFill="1" applyBorder="1"/>
    <x:xf numFmtId="213" fontId="7" fillId="8" borderId="0" xfId="0" applyNumberFormat="1" applyFont="1" applyFill="1" applyBorder="1"/>
    <x:xf numFmtId="212" fontId="7" fillId="8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vertical="center" wrapText="1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0" xfId="0" applyNumberFormat="1" applyFont="1" applyFill="1" applyBorder="1" applyAlignment="1">
      <x:alignment vertical="center" wrapText="1"/>
    </x:xf>
    <x:xf numFmtId="214" fontId="4" fillId="0" borderId="0" xfId="0" applyNumberFormat="1" applyFont="1" applyFill="1" applyBorder="1"/>
    <x:xf numFmtId="215" fontId="4" fillId="0" borderId="0" xfId="0" applyNumberFormat="1" applyFont="1" applyFill="1" applyBorder="1"/>
    <x:xf numFmtId="216" fontId="4" fillId="0" borderId="0" xfId="0" applyNumberFormat="1" applyFont="1" applyFill="1" applyBorder="1"/>
    <x:xf numFmtId="216" fontId="0" fillId="0" borderId="0" xfId="0" applyNumberFormat="1" applyFont="1" applyFill="1" applyBorder="1"/>
    <x:xf numFmtId="216" fontId="4" fillId="8" borderId="0" xfId="0" applyNumberFormat="1" applyFont="1" applyFill="1" applyBorder="1"/>
    <x:xf numFmtId="0" fontId="0" fillId="0" borderId="2" xfId="0" applyNumberFormat="1" applyFont="1" applyFill="1" applyBorder="1"/>
    <x:xf numFmtId="216" fontId="4" fillId="0" borderId="3" xfId="0" applyNumberFormat="1" applyFont="1" applyFill="1" applyBorder="1"/>
    <x:xf numFmtId="216" fontId="4" fillId="0" borderId="4" xfId="0" applyNumberFormat="1" applyFont="1" applyFill="1" applyBorder="1"/>
    <x:xf numFmtId="0" fontId="0" fillId="9" borderId="2" xfId="0" applyNumberFormat="1" applyFont="1" applyFill="1" applyBorder="1"/>
    <x:xf numFmtId="0" fontId="3" fillId="9" borderId="2" xfId="0" applyNumberFormat="1" applyFont="1" applyFill="1" applyBorder="1"/>
    <x:xf numFmtId="0" fontId="3" fillId="9" borderId="5" xfId="0" applyNumberFormat="1" applyFont="1" applyFill="1" applyBorder="1"/>
    <x:xf numFmtId="0" fontId="3" fillId="9" borderId="5" xfId="0" applyNumberFormat="1" applyFont="1" applyFill="1" applyBorder="1" applyAlignment="1">
      <x:alignment wrapText="1"/>
    </x:xf>
    <x:xf numFmtId="0" fontId="3" fillId="9" borderId="5" xfId="0" applyNumberFormat="1" applyFont="1" applyFill="1" applyBorder="1" applyAlignment="1">
      <x:alignment horizontal="center" wrapText="1"/>
    </x:xf>
    <x:xf numFmtId="0" fontId="3" fillId="9" borderId="5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/>
    <x:xf numFmtId="0" fontId="3" fillId="10" borderId="0" xfId="0" applyNumberFormat="1" applyFont="1" applyFill="1" applyBorder="1" applyAlignment="1">
      <x:alignment vertical="center"/>
    </x:xf>
    <x:xf numFmtId="217" fontId="0" fillId="0" borderId="0" xfId="0" applyNumberFormat="1" applyFont="1" applyFill="1" applyBorder="1"/>
    <x:xf numFmtId="217" fontId="4" fillId="0" borderId="0" xfId="0" applyNumberFormat="1" applyFont="1" applyFill="1" applyBorder="1"/>
    <x:xf numFmtId="209" fontId="4" fillId="0" borderId="0" xfId="0" applyNumberFormat="1" applyFont="1" applyFill="1" applyBorder="1"/>
    <x:xf numFmtId="217" fontId="11" fillId="0" borderId="0" xfId="0" applyNumberFormat="1" applyFont="1" applyFill="1" applyBorder="1"/>
    <x:xf numFmtId="0" fontId="0" fillId="11" borderId="0" xfId="0" applyNumberFormat="1" applyFont="1" applyFill="1" applyBorder="1"/>
    <x:xf numFmtId="217" fontId="11" fillId="11" borderId="0" xfId="0" applyNumberFormat="1" applyFont="1" applyFill="1" applyBorder="1"/>
    <x:xf numFmtId="0" fontId="12" fillId="11" borderId="0" xfId="0" applyNumberFormat="1" applyFont="1" applyFill="1" applyBorder="1"/>
    <x:xf numFmtId="217" fontId="12" fillId="11" borderId="0" xfId="0" applyNumberFormat="1" applyFont="1" applyFill="1" applyBorder="1"/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1" xfId="0" applyNumberFormat="1" applyFont="1" applyFill="1" applyBorder="1"/>
    <x:xf numFmtId="0" fontId="3" fillId="9" borderId="1" xfId="0" applyNumberFormat="1" applyFont="1" applyFill="1" applyBorder="1" applyAlignment="1">
      <x:alignment wrapText="1"/>
    </x:xf>
    <x:xf numFmtId="0" fontId="3" fillId="9" borderId="1" xfId="0" applyNumberFormat="1" applyFont="1" applyFill="1" applyBorder="1" applyAlignment="1">
      <x:alignment horizontal="center" wrapText="1"/>
    </x:xf>
    <x:xf numFmtId="0" fontId="3" fillId="9" borderId="1" xfId="0" applyNumberFormat="1" applyFont="1" applyFill="1" applyBorder="1" applyAlignment="1">
      <x:alignment horizontal="center" vertical="center" wrapText="1"/>
    </x:xf>
    <x:xf numFmtId="0" fontId="0" fillId="12" borderId="0" xfId="0" applyNumberFormat="1" applyFont="1" applyFill="1" applyBorder="1"/>
    <x:xf numFmtId="0" fontId="13" fillId="12" borderId="0" xfId="0" applyNumberFormat="1" applyFont="1" applyFill="1" applyBorder="1"/>
    <x:xf numFmtId="0" fontId="13" fillId="12" borderId="0" xfId="0" applyNumberFormat="1" applyFont="1" applyFill="1" applyBorder="1" applyAlignment="1">
      <x:alignment wrapText="1"/>
    </x:xf>
    <x:xf numFmtId="0" fontId="13" fillId="12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209" fontId="11" fillId="0" borderId="0" xfId="0" applyNumberFormat="1" applyFont="1" applyFill="1" applyBorder="1"/>
    <x:xf numFmtId="207" fontId="11" fillId="0" borderId="0" xfId="0" applyNumberFormat="1" applyFont="1" applyFill="1" applyBorder="1"/>
    <x:xf numFmtId="0" fontId="14" fillId="0" borderId="0" xfId="0" applyNumberFormat="1" applyFont="1" applyFill="1" applyBorder="1"/>
    <x:xf numFmtId="0" fontId="15" fillId="11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5" fillId="11" borderId="0" xfId="0" applyNumberFormat="1" applyFont="1" applyFill="1" applyBorder="1" applyAlignment="1">
      <x:alignment wrapText="1"/>
    </x:xf>
    <x:xf numFmtId="0" fontId="12" fillId="11" borderId="0" xfId="0" applyNumberFormat="1" applyFont="1" applyFill="1" applyBorder="1" applyAlignment="1">
      <x:alignment wrapText="1"/>
    </x:xf>
    <x:xf numFmtId="0" fontId="0" fillId="13" borderId="0" xfId="0" applyNumberFormat="1" applyFont="1" applyFill="1" applyBorder="1"/>
    <x:xf numFmtId="0" fontId="12" fillId="13" borderId="0" xfId="0" applyNumberFormat="1" applyFont="1" applyFill="1" applyBorder="1"/>
    <x:xf numFmtId="0" fontId="12" fillId="13" borderId="0" xfId="0" applyNumberFormat="1" applyFont="1" applyFill="1" applyBorder="1" applyAlignment="1">
      <x:alignment horizontal="center"/>
    </x:xf>
    <x:xf numFmtId="201" fontId="12" fillId="13" borderId="0" xfId="0" applyNumberFormat="1" applyFont="1" applyFill="1" applyBorder="1" applyAlignment="1">
      <x:alignment horizontal="center"/>
    </x:xf>
    <x:xf numFmtId="201" fontId="3" fillId="9" borderId="1" xfId="0" applyNumberFormat="1" applyFont="1" applyFill="1" applyBorder="1" applyAlignment="1">
      <x:alignment horizontal="center" vertical="center" wrapText="1"/>
    </x:xf>
    <x:xf numFmtId="214" fontId="0" fillId="0" borderId="0" xfId="0" applyNumberFormat="1" applyFont="1" applyFill="1" applyBorder="1"/>
    <x:xf numFmtId="214" fontId="12" fillId="11" borderId="0" xfId="0" applyNumberFormat="1" applyFont="1" applyFill="1" applyBorder="1"/>
    <x:xf numFmtId="214" fontId="0" fillId="0" borderId="6" xfId="0" applyNumberFormat="1" applyFont="1" applyFill="1" applyBorder="1"/>
    <x:xf numFmtId="0" fontId="2" fillId="14" borderId="0" xfId="0" applyNumberFormat="1" applyFont="1" applyFill="1" applyBorder="1" applyAlignment="1">
      <x:alignment vertical="center" wrapText="1"/>
    </x:xf>
    <x:xf numFmtId="0" fontId="0" fillId="14" borderId="0" xfId="0" applyNumberFormat="1" applyFont="1" applyFill="1" applyBorder="1"/>
    <x:xf numFmtId="0" fontId="13" fillId="14" borderId="0" xfId="0" applyNumberFormat="1" applyFont="1" applyFill="1" applyBorder="1" applyAlignment="1">
      <x:alignment vertical="center" wrapText="1"/>
    </x:xf>
    <x:xf numFmtId="0" fontId="13" fillId="14" borderId="0" xfId="0" applyNumberFormat="1" applyFont="1" applyFill="1" applyBorder="1"/>
    <x:xf numFmtId="0" fontId="13" fillId="14" borderId="0" xfId="0" applyNumberFormat="1" applyFont="1" applyFill="1" applyBorder="1" applyAlignment="1">
      <x:alignment wrapText="1"/>
    </x:xf>
    <x:xf numFmtId="0" fontId="2" fillId="12" borderId="0" xfId="0" applyNumberFormat="1" applyFont="1" applyFill="1" applyBorder="1" applyAlignment="1">
      <x:alignment wrapText="1"/>
    </x:xf>
    <x:xf numFmtId="0" fontId="16" fillId="0" borderId="0" xfId="0" applyNumberFormat="1" applyFont="1" applyFill="1" applyBorder="1"/>
    <x:xf numFmtId="0" fontId="16" fillId="3" borderId="0" xfId="0" applyNumberFormat="1" applyFont="1" applyFill="1" applyBorder="1" applyAlignment="1">
      <x:alignment wrapText="1"/>
    </x:xf>
    <x:xf numFmtId="218" fontId="16" fillId="0" borderId="0" xfId="0" applyNumberFormat="1" applyFont="1" applyFill="1" applyBorder="1"/>
    <x:xf numFmtId="218" fontId="16" fillId="3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3" fillId="1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0" fillId="15" borderId="0" xfId="0" applyNumberFormat="1" applyFont="1" applyFill="1" applyBorder="1" applyAlignment="1">
      <x:alignment wrapText="1"/>
    </x:xf>
    <x:xf numFmtId="0" fontId="3" fillId="15" borderId="0" xfId="0" applyNumberFormat="1" applyFont="1" applyFill="1" applyBorder="1" applyAlignment="1">
      <x:alignment vertical="center" wrapText="1"/>
    </x:xf>
    <x:xf numFmtId="0" fontId="9" fillId="15" borderId="0" xfId="0" applyNumberFormat="1" applyFont="1" applyFill="1" applyBorder="1" applyAlignment="1">
      <x:alignment vertical="center" wrapText="1"/>
    </x:xf>
    <x:xf numFmtId="0" fontId="17" fillId="15" borderId="0" xfId="0" applyNumberFormat="1" applyFont="1" applyFill="1" applyBorder="1" applyAlignment="1">
      <x:alignment wrapText="1"/>
    </x:xf>
    <x:xf numFmtId="0" fontId="17" fillId="15" borderId="0" xfId="0" applyNumberFormat="1" applyFont="1" applyFill="1" applyBorder="1" applyAlignment="1">
      <x:alignment vertical="center" wrapText="1"/>
    </x:xf>
    <x:xf numFmtId="0" fontId="18" fillId="15" borderId="0" xfId="0" applyNumberFormat="1" applyFont="1" applyFill="1" applyBorder="1" applyAlignment="1">
      <x:alignment wrapText="1"/>
    </x:xf>
    <x:xf numFmtId="0" fontId="18" fillId="15" borderId="0" xfId="0" applyNumberFormat="1" applyFont="1" applyFill="1" applyBorder="1" applyAlignment="1">
      <x:alignment vertical="center" wrapText="1"/>
    </x:xf>
    <x:xf numFmtId="216" fontId="5" fillId="0" borderId="0" xfId="0" applyNumberFormat="1" applyFont="1" applyFill="1" applyBorder="1"/>
    <x:xf numFmtId="216" fontId="5" fillId="8" borderId="0" xfId="0" applyNumberFormat="1" applyFont="1" applyFill="1" applyBorder="1"/>
    <x:xf numFmtId="216" fontId="5" fillId="0" borderId="3" xfId="0" applyNumberFormat="1" applyFont="1" applyFill="1" applyBorder="1"/>
    <x:xf numFmtId="216" fontId="5" fillId="0" borderId="4" xfId="0" applyNumberFormat="1" applyFont="1" applyFill="1" applyBorder="1"/>
    <x:xf numFmtId="0" fontId="19" fillId="3" borderId="0" xfId="0" applyNumberFormat="1" applyFont="1" applyFill="1" applyBorder="1" applyAlignment="1">
      <x:alignment wrapText="1"/>
    </x:xf>
    <x:xf numFmtId="219" fontId="19" fillId="3" borderId="0" xfId="0" applyNumberFormat="1" applyFont="1" applyFill="1" applyBorder="1" applyAlignment="1">
      <x:alignment wrapText="1"/>
    </x:xf>
    <x:xf numFmtId="0" fontId="20" fillId="3" borderId="0" xfId="0" applyNumberFormat="1" applyFont="1" applyFill="1" applyBorder="1" applyAlignment="1">
      <x:alignment wrapText="1"/>
    </x:xf>
    <x:xf numFmtId="219" fontId="20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b/>
        <x:color rgb="FF006100"/>
      </x:font>
      <x:fill>
        <x:patternFill>
          <x:bgColor rgb="FFE2F0D9"/>
        </x:patternFill>
      </x:fill>
    </x:dxf>
    <x:dxf>
      <x:font>
        <x:b/>
        <x:color rgb="FFC00000"/>
      </x:font>
      <x:fill>
        <x:patternFill>
          <x:bgColor rgb="FFF4CCCC"/>
        </x:patternFill>
      </x:fill>
    </x:dxf>
    <x:dxf>
      <x:font>
        <x:b/>
        <x:color rgb="FF006100"/>
      </x:font>
      <x:fill>
        <x:patternFill>
          <x:bgColor rgb="FFE2F0D9"/>
        </x:patternFill>
      </x:fill>
    </x:dxf>
    <x:dxf>
      <x:font>
        <x:b/>
        <x:color rgb="FFC00000"/>
      </x:font>
      <x:fill>
        <x:patternFill>
          <x:bgColor rgb="FFF4CCCC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</x:dxfs>
</x:styleSheet>
</file>

<file path=xl/_rels/workbook.xml.rels><?xml version="1.0" encoding="utf-8"?><Relationships xmlns="http://schemas.openxmlformats.org/package/2006/relationships"><Relationship Type="http://schemas.openxmlformats.org/officeDocument/2006/relationships/styles" Target="/xl/styles.xml" Id="R96b063612fca457d" /><Relationship Type="http://schemas.openxmlformats.org/officeDocument/2006/relationships/theme" Target="/xl/theme/theme1.xml" Id="R9ff72050a59540ea" /><Relationship Type="http://schemas.openxmlformats.org/officeDocument/2006/relationships/sharedStrings" Target="/xl/sharedStrings.xml" Id="R0399e71932f1453c" /><Relationship Type="http://schemas.openxmlformats.org/officeDocument/2006/relationships/worksheet" Target="/xl/worksheets/sheet1.xml" Id="R7d58f689d67a4a87" /><Relationship Type="http://schemas.openxmlformats.org/officeDocument/2006/relationships/worksheet" Target="/xl/worksheets/sheet2.xml" Id="Rfa2b843f709d49bb" /><Relationship Type="http://schemas.openxmlformats.org/officeDocument/2006/relationships/worksheet" Target="/xl/worksheets/sheet3.xml" Id="Ra7578c5e892d42f4" /><Relationship Type="http://schemas.openxmlformats.org/officeDocument/2006/relationships/worksheet" Target="/xl/worksheets/sheet4.xml" Id="R49a6e100d91e4740" /><Relationship Type="http://schemas.openxmlformats.org/officeDocument/2006/relationships/worksheet" Target="/xl/worksheets/sheet7.xml" Id="Rcf2625fa0ae4485a" /><Relationship Type="http://schemas.openxmlformats.org/officeDocument/2006/relationships/worksheet" Target="/xl/worksheets/sheet8.xml" Id="R3d3f2bba847e425b" /><Relationship Type="http://schemas.openxmlformats.org/officeDocument/2006/relationships/worksheet" Target="/xl/worksheets/sheet9.xml" Id="R91237f6caa8f4d5f" /><Relationship Type="http://schemas.openxmlformats.org/officeDocument/2006/relationships/worksheet" Target="/xl/worksheets/sheet10.xml" Id="Rd4208c7e705743c1" /><Relationship Type="http://schemas.microsoft.com/office/2017/10/relationships/person" Target="/xl/persons/person.xml" Id="R4ee38f47b6784fa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ecf448a4721421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UAL Implied Share Value by Scenario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Implied value</c:v>
          </c:tx>
          <c:cat>
            <c:strRef>
              <c:f>'Summary'!$A$19:$A$21</c:f>
              <c:strCache>
                <c:ptCount val="0"/>
              </c:strCache>
            </c:strRef>
          </c:cat>
          <c:val>
            <c:numRef>
              <c:f>'Summary'!$B$19:$B$21</c:f>
              <c:numCache>
                <c:formatCode>$0.00</c:formatCode>
                <c:ptCount val="0"/>
              </c:numCache>
            </c:numRef>
          </c:val>
        </c:ser>
        <c:ser>
          <c:idx val="1"/>
          <c:order val="1"/>
          <c:tx>
            <c:v>Market price</c:v>
          </c:tx>
          <c:cat>
            <c:strRef>
              <c:f>'Summary'!$A$19:$A$21</c:f>
              <c:strCache>
                <c:ptCount val="0"/>
              </c:strCache>
            </c:strRef>
          </c:cat>
          <c:val>
            <c:numRef>
              <c:f>'Summary'!$C$19:$C$21</c:f>
              <c:numCache>
                <c:formatCode>$0.00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ax val="325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17</xdr:row>
      <xdr:rowOff>0</xdr:rowOff>
    </xdr:from>
    <xdr:to>
      <xdr:col>12</xdr:col>
      <xdr:colOff>0</xdr:colOff>
      <xdr:row>33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ecf448a47214215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Rishabb Shankar" id="{B72E4ED9-3250-4C6B-8690-8D0A5BD12053}"/>
  <xltc:person displayName="Rishabb Shankar" id="{14600C4A-AD2B-4F21-9191-F70C4732BD6D}"/>
  <xltc:person displayName="Rishabb Shankar" id="{2984F40F-AB62-4BF6-B70A-3EA3F3B4B10D}"/>
  <xltc:person displayName="Rishabb Shankar" id="{A775567C-70E6-49A7-867A-F77CA88F0A39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D9" dT="2026-09-01T00:50:12.729" personId="{B72E4ED9-3250-4C6B-8690-8D0A5BD12053}" id="{EBC357AB-4E10-4AA3-B35B-0143CD470D13}">
    <xltc:text>Source: United Airlines Holdings, Inc. 2024 Form 10-K, filed with the SEC. See Sources sheet.</xltc:text>
  </xltc:threadedComment>
  <xltc:threadedComment ref="D17" dT="2026-09-01T00:50:12.73" personId="{B72E4ED9-3250-4C6B-8690-8D0A5BD12053}" id="{4CFC7201-B0B8-487A-B330-437E8A0FD271}">
    <xltc:text>Source: UAL 2024 Form 10-K operating statistics. See Sources sheet.</xltc:text>
  </xltc:threadedComment>
  <xltc:threadedComment ref="B40" dT="2026-09-01T00:50:12.73" personId="{B72E4ED9-3250-4C6B-8690-8D0A5BD12053}" id="{14904339-9A76-4684-944C-791149FDBF19}">
    <xltc:text>Source: United Airlines official historical price lookup. Closing price on August 29, 2025: $105.00.</xltc:text>
  </xltc:threadedComment>
  <xltc:threadedComment ref="B41" dT="2026-09-01T00:50:12.73" personId="{B72E4ED9-3250-4C6B-8690-8D0A5BD12053}" id="{DA846E62-4DBA-41A8-9A1B-B0C2C4A1EC09}">
    <xltc:text>Modeling assumption. Default 0% intentionally recreates a conservative/original-style enterprise-value bridge; set to 100% for a liquidity-adjusted view.</xltc:text>
  </xltc:threadedComment>
  <xltc:threadedComment ref="B49" dT="2026-09-01T00:50:12.73" personId="{B72E4ED9-3250-4C6B-8690-8D0A5BD12053}" id="{0762888E-A0EE-4F7F-8660-55BF3064BE62}">
    <xltc:text>Reconstructed base-case forecast assumption. This is not company guidance.</xltc:text>
  </xltc:threadedComment>
  <xltc:threadedComment ref="B33" dT="2026-09-01T05:31:49.365" personId="{14600C4A-AD2B-4F21-9191-F70C4732BD6D}" id="{694CAA02-E0AD-4ADF-8AD4-6690BDABBCDF}">
    <xltc:text>Source: United Airlines Q2 2025 Form 10-Q, cash and cash equivalents at June 30, 2025.</xltc:text>
  </xltc:threadedComment>
  <xltc:threadedComment ref="B35" dT="2026-09-01T05:31:49.366" personId="{14600C4A-AD2B-4F21-9191-F70C4732BD6D}" id="{E9E8E0D0-C314-43FC-90D3-0332B75A746A}">
    <xltc:text>Source: United Airlines Q2 2025 Form 10-Q, current debt and finance lease liabilities at June 30, 2025.</xltc:text>
  </xltc:threadedComment>
  <xltc:threadedComment ref="B39" dT="2026-09-01T05:31:49.366" personId="{14600C4A-AD2B-4F21-9191-F70C4732BD6D}" id="{99780B67-61A1-4513-AEAD-6F45964623B8}">
    <xltc:text>Source: United Airlines Q2 2025 Form 10-Q, shares outstanding at July 10, 2025; modeled in millions.</xltc:text>
  </xltc:threadedComment>
  <xltc:threadedComment ref="B40" dT="2026-09-01T05:31:49.366" personId="{14600C4A-AD2B-4F21-9191-F70C4732BD6D}" id="{19C31880-1AD3-40EB-86DD-D212B88A5F33}">
    <xltc:text>Source: United Airlines historical price lookup, August 29, 2025 closing price.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B41" dT="2026-09-01T00:50:12.759" personId="{B72E4ED9-3250-4C6B-8690-8D0A5BD12053}" id="{E1574C2B-2E25-45FA-9251-0F817F4E29A6}">
    <xltc:text>Enterprise value equals the present value of forecast UFCF plus the present value of the terminal value. Base case is designed to reproduce the surviving project result near $85.7B.</xltc:text>
  </xltc:threadedComment>
  <xltc:threadedComment ref="B46" dT="2026-09-01T00:50:12.759" personId="{B72E4ED9-3250-4C6B-8690-8D0A5BD12053}" id="{67ECAC2D-D129-4035-9A73-7070E1E4918D}">
    <xltc:text>Implied share value uses the conservative adjusted-net-debt bridge. See UAL Inputs for an editable short-term-investments treatment.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B5" dT="2026-09-01T00:50:12.799" personId="{B72E4ED9-3250-4C6B-8690-8D0A5BD12053}" id="{3A8AFAF8-F914-4AD7-A3DF-DB79B6197779}">
    <xltc:text>Scenario assumption. Bear WACC reflects a higher required return than the base case.</xltc:text>
  </xltc:threadedComment>
  <xltc:threadedComment ref="B14" dT="2026-09-01T00:50:12.799" personId="{B72E4ED9-3250-4C6B-8690-8D0A5BD12053}" id="{D8CC2541-AAB7-48E2-8605-5D058D0E38F0}">
    <xltc:text>Scenario assumption: lower load factor than base. See scenario overview for WACC/TGR.</xltc:text>
  </xltc:threadedComment>
</xltc:ThreadedComments>
</file>

<file path=xl/threadedcomments/threadedcomment6.xml><?xml version="1.0" encoding="utf-8"?>
<xltc:ThreadedComments xmlns:xltc="http://schemas.microsoft.com/office/spreadsheetml/2018/threadedcomments">
  <xltc:threadedComment ref="B5" dT="2026-09-01T05:31:49.366" personId="{14600C4A-AD2B-4F21-9191-F70C4732BD6D}" id="{15EB6522-1303-4799-8312-CFE8F7F3574A}">
    <xltc:text>Source: U.S. Treasury daily par yield curve, 10-year yield of 4.23% on August 29, 2025.</xltc:text>
  </xltc:threadedComment>
  <xltc:threadedComment ref="B6" dT="2026-09-01T05:31:49.366" personId="{14600C4A-AD2B-4F21-9191-F70C4732BD6D}" id="{0706138A-4ED1-4C65-A7A2-1E5071F3C5F4}">
    <xltc:text>Analyst-selected normalized ERP. Cross-checked against Damodaran historical implied ERP and long-run realized stock-versus-bond premiums.</xltc:text>
  </xltc:threadedComment>
  <xltc:threadedComment ref="B7" dT="2026-09-01T05:31:49.366" personId="{14600C4A-AD2B-4F21-9191-F70C4732BD6D}" id="{0D5F8683-9173-46D4-9C18-A020EF56A85B}">
    <xltc:text>Calculated from five years of weekly adjusted prices for UAL versus SPY through August 29, 2025; airline peers provide a reasonableness cross-check.</xltc:text>
  </xltc:threadedComment>
  <xltc:threadedComment ref="F26" dT="2026-09-01T05:31:49.366" personId="{14600C4A-AD2B-4F21-9191-F70C4732BD6D}" id="{E8C3D6D4-448E-4EFA-8756-674E1E864662}">
    <xltc:text>Source: United Airlines 2024 Form 10-K. Cost equals 2024 interest expense plus capitalized interest divided by average 2023–2024 debt and finance lease liabilities.</xltc:text>
  </xltc:threadedComment>
</xltc:ThreadedComments>
</file>

<file path=xl/worksheets/_rels/sheet1.xml.rels><?xml version="1.0" encoding="utf-8"?><Relationships xmlns="http://schemas.openxmlformats.org/package/2006/relationships"><Relationship Type="http://schemas.openxmlformats.org/officeDocument/2006/relationships/drawing" Target="/xl/drawings/drawing1.xml" Id="Rbf831cca7ff2453b" /></Relationships>
</file>

<file path=xl/worksheets/_rels/sheet2.xml.rels><?xml version="1.0" encoding="utf-8"?><Relationships xmlns="http://schemas.openxmlformats.org/package/2006/relationships"><Relationship Type="http://schemas.openxmlformats.org/officeDocument/2006/relationships/comments" Target="/xl/comments1.xml" Id="Rdab7a781367a4ab0" /><Relationship Type="http://schemas.openxmlformats.org/officeDocument/2006/relationships/vmlDrawing" Target="/xl/drawings/vmldrawing.vml" Id="Rce5507d3023445df" /><Relationship Type="http://schemas.microsoft.com/office/2017/10/relationships/threadedComment" Target="/xl/threadedcomments/threadedcomment.xml" Id="R064f25e3bbd14729" /></Relationships>
</file>

<file path=xl/worksheets/_rels/sheet3.xml.rels><?xml version="1.0" encoding="utf-8"?><Relationships xmlns="http://schemas.openxmlformats.org/package/2006/relationships"><Relationship Type="http://schemas.openxmlformats.org/officeDocument/2006/relationships/comments" Target="/xl/comments2.xml" Id="R44cd8c0830ec4f6d" /><Relationship Type="http://schemas.openxmlformats.org/officeDocument/2006/relationships/vmlDrawing" Target="/xl/drawings/vmldrawing2.vml" Id="R7fea9489a62d4834" /><Relationship Type="http://schemas.microsoft.com/office/2017/10/relationships/threadedComment" Target="/xl/threadedcomments/threadedcomment2.xml" Id="R2ead5bc718cc4ed4" /></Relationships>
</file>

<file path=xl/worksheets/_rels/sheet4.xml.rels><?xml version="1.0" encoding="utf-8"?><Relationships xmlns="http://schemas.openxmlformats.org/package/2006/relationships"><Relationship Type="http://schemas.openxmlformats.org/officeDocument/2006/relationships/comments" Target="/xl/comments3.xml" Id="R5610ca186d4b426a" /><Relationship Type="http://schemas.openxmlformats.org/officeDocument/2006/relationships/vmlDrawing" Target="/xl/drawings/vmldrawing3.vml" Id="R07bca631ef56484e" /><Relationship Type="http://schemas.microsoft.com/office/2017/10/relationships/threadedComment" Target="/xl/threadedcomments/threadedcomment3.xml" Id="Rc89a66a66fe54cb2" /></Relationships>
</file>

<file path=xl/worksheets/_rels/sheet9.xml.rels><?xml version="1.0" encoding="utf-8"?><Relationships xmlns="http://schemas.openxmlformats.org/package/2006/relationships"><Relationship Type="http://schemas.openxmlformats.org/officeDocument/2006/relationships/comments" Target="/xl/comments6.xml" Id="Rb94f7efc147e41f9" /><Relationship Type="http://schemas.openxmlformats.org/officeDocument/2006/relationships/vmlDrawing" Target="/xl/drawings/vmldrawing6.vml" Id="Re4e50c8b3bf24c37" /><Relationship Type="http://schemas.microsoft.com/office/2017/10/relationships/threadedComment" Target="/xl/threadedcomments/threadedcomment6.xml" Id="R0fc990933cf54285" /></Relationships>
</file>

<file path=xl/worksheets/sheet1.xml><?xml version="1.0" encoding="utf-8"?>
<x:worksheet xmlns:r="http://schemas.openxmlformats.org/officeDocument/2006/relationships"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6" hidden="0" customWidth="1"/>
    <x:col min="3" max="3" width="15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28" customHeight="1">
      <x:c r="A1" s="3" t="str">
        <x:v>United Airlines — DCF Valuation &amp; Scenario Analysis</x:v>
      </x:c>
      <x:c r="B1" s="3"/>
      <x:c r="C1" s="3"/>
      <x:c r="D1" s="3"/>
      <x:c r="E1" s="3"/>
      <x:c r="F1" s="3"/>
    </x:row>
    <x:row r="2">
      <x:c r="A2" s="96" t="str">
        <x:v>Source-backed operating model, DCF valuation, WACC build, sensitivity, and audit checks</x:v>
      </x:c>
      <x:c r="B2" s="96"/>
      <x:c r="C2" s="96"/>
      <x:c r="D2" s="96"/>
      <x:c r="E2" s="96"/>
      <x:c r="F2" s="96"/>
    </x:row>
    <x:row r="4">
      <x:c r="A4" s="8" t="str">
        <x:v>Headline Results</x:v>
      </x:c>
      <x:c r="B4" s="8"/>
      <x:c r="C4" s="8"/>
      <x:c r="D4" s="8"/>
      <x:c r="E4" s="8"/>
      <x:c r="F4" s="8"/>
    </x:row>
    <x:row r="5">
      <x:c r="A5" s="57" t="str">
        <x:v>Base implied value</x:v>
      </x:c>
      <x:c r="B5" s="104" t="n">
        <x:f>'UAL DCF'!B46</x:f>
        <x:v>121.04558114611267</x:v>
      </x:c>
      <x:c r="C5" s="55"/>
      <x:c r="D5" s="55"/>
      <x:c r="E5" s="55"/>
      <x:c r="F5" s="55"/>
    </x:row>
    <x:row r="6">
      <x:c r="A6" s="57" t="str">
        <x:v>Market price</x:v>
      </x:c>
      <x:c r="B6" s="104" t="n">
        <x:f>'UAL DCF'!B47</x:f>
        <x:v>105</x:v>
      </x:c>
      <x:c r="C6" s="55"/>
      <x:c r="D6" s="55"/>
      <x:c r="E6" s="55"/>
      <x:c r="F6" s="55"/>
    </x:row>
    <x:row r="7">
      <x:c r="A7" s="57" t="str">
        <x:v>Upside</x:v>
      </x:c>
      <x:c r="B7" s="105" t="n">
        <x:f>'UAL DCF'!B48</x:f>
        <x:v>0.15281505853440636</x:v>
      </x:c>
      <x:c r="C7" s="55"/>
      <x:c r="D7" s="55"/>
      <x:c r="E7" s="55"/>
      <x:c r="F7" s="55"/>
    </x:row>
    <x:row r="8">
      <x:c r="A8" s="57" t="str">
        <x:v>Operating scenario range</x:v>
      </x:c>
      <x:c r="B8" s="55" t="str">
        <x:f>"~$"&amp;ROUND(MIN('UAL Scenarios'!F5:F7),0)&amp;"–$"&amp;ROUND(MAX('UAL Scenarios'!F5:F7),0)</x:f>
        <x:v>~$91–$151</x:v>
      </x:c>
      <x:c r="C8" s="55"/>
      <x:c r="D8" s="55"/>
      <x:c r="E8" s="55"/>
      <x:c r="F8" s="55"/>
    </x:row>
    <x:row r="9">
      <x:c r="A9" s="57" t="str">
        <x:v>Enterprise value</x:v>
      </x:c>
      <x:c r="B9" s="106" t="n">
        <x:f>'UAL DCF'!B41</x:f>
        <x:v>57555.339453877976</x:v>
      </x:c>
      <x:c r="C9" s="55"/>
      <x:c r="D9" s="55"/>
      <x:c r="E9" s="55"/>
      <x:c r="F9" s="55"/>
    </x:row>
    <x:row r="10">
      <x:c r="A10" s="57" t="str">
        <x:v>Market enterprise value</x:v>
      </x:c>
      <x:c r="B10" s="106" t="n">
        <x:f>'UAL DCF'!B51</x:f>
        <x:v>52360.86987</x:v>
      </x:c>
      <x:c r="C10" s="55"/>
      <x:c r="D10" s="55"/>
      <x:c r="E10" s="55"/>
      <x:c r="F10" s="55"/>
    </x:row>
    <x:row r="11">
      <x:c r="A11" s="57" t="str">
        <x:v>Recommendation</x:v>
      </x:c>
      <x:c r="B11" s="107" t="str">
        <x:f>'UAL DCF'!B49</x:f>
        <x:v>HOLD</x:v>
      </x:c>
      <x:c r="C11" s="55"/>
      <x:c r="D11" s="55"/>
      <x:c r="E11" s="55"/>
      <x:c r="F11" s="55"/>
    </x:row>
    <x:row r="14">
      <x:c r="A14" s="8" t="str">
        <x:v>Resume-Ready Project Language</x:v>
      </x:c>
      <x:c r="B14" s="8"/>
      <x:c r="C14" s="8"/>
      <x:c r="D14" s="8"/>
      <x:c r="E14" s="8"/>
      <x:c r="F14" s="8"/>
    </x:row>
    <x:row r="15" ht="32" customHeight="1">
      <x:c r="A15" s="113" t="str">
        <x:v>United Airlines — Built a 2022–2030 operating and unlevered FCF model, deriving approximately $121 per share using a 9.0% WACC, 2.5% terminal growth, and normalized terminal reinvestment; load-factor and fuel-price operating cases produced an approximately $91–$151 range, supporting HOLD on 15% base-case upside and 14% bear-case downside.</x:v>
      </x:c>
      <x:c r="B15" s="113"/>
      <x:c r="C15" s="113"/>
      <x:c r="D15" s="113"/>
      <x:c r="E15" s="113"/>
      <x:c r="F15" s="113"/>
    </x:row>
    <x:row r="16" ht="32" customHeight="1">
      <x:c r="A16" s="113"/>
      <x:c r="B16" s="113"/>
      <x:c r="C16" s="113"/>
      <x:c r="D16" s="113"/>
      <x:c r="E16" s="113"/>
      <x:c r="F16" s="113"/>
    </x:row>
    <x:row r="18">
      <x:c r="A18" s="14" t="str">
        <x:v>Scenario</x:v>
      </x:c>
      <x:c r="B18" s="14" t="str">
        <x:v>Implied value</x:v>
      </x:c>
      <x:c r="C18" s="14" t="str">
        <x:v>Market price</x:v>
      </x:c>
    </x:row>
    <x:row r="19">
      <x:c r="A19" t="str">
        <x:v>Bear</x:v>
      </x:c>
      <x:c r="B19" s="54" t="n">
        <x:f>'UAL Scenarios'!F5</x:f>
        <x:v>90.71521462080223</x:v>
      </x:c>
      <x:c r="C19" s="54" t="n">
        <x:f>'UAL Inputs'!B40</x:f>
        <x:v>105</x:v>
      </x:c>
    </x:row>
    <x:row r="20">
      <x:c r="A20" t="str">
        <x:v>Base</x:v>
      </x:c>
      <x:c r="B20" s="54" t="n">
        <x:f>'UAL Scenarios'!F6</x:f>
        <x:v>121.04558114611271</x:v>
      </x:c>
      <x:c r="C20" s="54" t="n">
        <x:f>'UAL Inputs'!B40</x:f>
        <x:v>105</x:v>
      </x:c>
    </x:row>
    <x:row r="21">
      <x:c r="A21" t="str">
        <x:v>Bull</x:v>
      </x:c>
      <x:c r="B21" s="54" t="n">
        <x:f>'UAL Scenarios'!F7</x:f>
        <x:v>151.37594767142335</x:v>
      </x:c>
      <x:c r="C21" s="54" t="n">
        <x:f>'UAL Inputs'!B40</x:f>
        <x:v>105</x:v>
      </x:c>
    </x:row>
    <x:row r="24">
      <x:c r="A24" s="174" t="str">
        <x:v>Important: this workbook reconstructs the lost United Airlines analysis from official filings and explicit assumptions; it does not claim to recover the original file. Blue-font cells are editable assumptions. See WACC Build, UAL Sensitivity, Checks, and Sources for the audit trail.</x:v>
      </x:c>
      <x:c r="B24" s="174"/>
      <x:c r="C24" s="174"/>
      <x:c r="D24" s="174"/>
    </x:row>
    <x:row r="25">
      <x:c r="A25" s="174"/>
      <x:c r="B25" s="174"/>
      <x:c r="C25" s="174"/>
      <x:c r="D25" s="174"/>
    </x:row>
    <x:row r="26">
      <x:c r="A26" s="174"/>
      <x:c r="B26" s="174"/>
      <x:c r="C26" s="174"/>
      <x:c r="D26" s="174"/>
    </x:row>
    <x:row r="27">
      <x:c r="A27" s="174"/>
      <x:c r="B27" s="174"/>
      <x:c r="C27" s="174"/>
      <x:c r="D27" s="174"/>
    </x:row>
    <x:row r="28">
      <x:c r="A28" s="174"/>
      <x:c r="B28" s="174"/>
      <x:c r="C28" s="174"/>
      <x:c r="D28" s="174"/>
    </x:row>
  </x:sheetData>
  <x:mergeCells count="6">
    <x:mergeCell ref="A1:F1"/>
    <x:mergeCell ref="A2:F2"/>
    <x:mergeCell ref="A4:F4"/>
    <x:mergeCell ref="A14:F14"/>
    <x:mergeCell ref="A15:F16"/>
    <x:mergeCell ref="A24:D28"/>
  </x:mergeCells>
  <x:pageMargins left="0.7" right="0.7" top="0.75" bottom="0.75" header="0.3" footer="0.3"/>
  <x:drawing r:id="Rbf831cca7ff2453b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4" hidden="0" customWidth="1"/>
    <x:col min="3" max="3" width="22" hidden="0" customWidth="1"/>
    <x:col min="4" max="4" width="14" hidden="0" customWidth="1"/>
    <x:col min="5" max="5" width="13" hidden="0" customWidth="1"/>
    <x:col min="6" max="6" width="29" hidden="0" customWidth="1"/>
    <x:col min="7" max="7" width="14" hidden="0" customWidth="1"/>
    <x:col min="8" max="8" width="14" hidden="0" customWidth="1"/>
  </x:cols>
  <x:sheetData>
    <x:row r="1" ht="28" customHeight="1">
      <x:c r="A1" s="3" t="str">
        <x:v>United Airlines — Historical Inputs &amp; Base Assumptions</x:v>
      </x:c>
      <x:c r="B1" s="3"/>
      <x:c r="C1" s="3"/>
      <x:c r="D1" s="3"/>
      <x:c r="E1" s="3"/>
      <x:c r="F1" s="3"/>
      <x:c r="G1" s="3"/>
      <x:c r="H1" s="3"/>
    </x:row>
    <x:row r="2">
      <x:c r="A2" s="6" t="str">
        <x:v>Blue font = model input | Green font = linked formula | $ in millions unless noted</x:v>
      </x:c>
      <x:c r="B2" s="6"/>
      <x:c r="C2" s="6"/>
      <x:c r="D2" s="6"/>
      <x:c r="E2" s="6"/>
      <x:c r="F2" s="6"/>
      <x:c r="G2" s="6"/>
      <x:c r="H2" s="6"/>
    </x:row>
    <x:row r="4">
      <x:c r="A4" s="8" t="str">
        <x:v>Historical Actuals</x:v>
      </x:c>
      <x:c r="B4" s="8"/>
      <x:c r="C4" s="8"/>
      <x:c r="D4" s="8"/>
      <x:c r="E4" s="8"/>
      <x:c r="F4" s="8"/>
      <x:c r="G4" s="8"/>
      <x:c r="H4" s="8"/>
    </x:row>
    <x:row r="5">
      <x:c r="A5" s="14" t="str">
        <x:v>Metric</x:v>
      </x:c>
      <x:c r="B5" s="14" t="str">
        <x:v>2022A</x:v>
      </x:c>
      <x:c r="C5" s="14" t="str">
        <x:v>2023A</x:v>
      </x:c>
      <x:c r="D5" s="14" t="str">
        <x:v>2024A</x:v>
      </x:c>
      <x:c r="E5" s="14" t="str">
        <x:v>Units</x:v>
      </x:c>
      <x:c r="F5" s="14" t="str">
        <x:v>Primary source</x:v>
      </x:c>
    </x:row>
    <x:row r="6">
      <x:c r="A6" t="str">
        <x:v>Passenger revenue</x:v>
      </x:c>
      <x:c r="B6" s="16" t="n">
        <x:v>40032</x:v>
      </x:c>
      <x:c r="C6" s="16" t="n">
        <x:v>49046</x:v>
      </x:c>
      <x:c r="D6" s="16" t="n">
        <x:v>51829</x:v>
      </x:c>
      <x:c r="E6" t="str">
        <x:v>$mm</x:v>
      </x:c>
      <x:c r="F6" s="21" t="str">
        <x:v>UAL 2024 Form 10-K</x:v>
      </x:c>
    </x:row>
    <x:row r="7">
      <x:c r="A7" t="str">
        <x:v>Cargo revenue</x:v>
      </x:c>
      <x:c r="B7" s="16" t="n">
        <x:v>2171</x:v>
      </x:c>
      <x:c r="C7" s="16" t="n">
        <x:v>1495</x:v>
      </x:c>
      <x:c r="D7" s="16" t="n">
        <x:v>1743</x:v>
      </x:c>
      <x:c r="E7" t="str">
        <x:v>$mm</x:v>
      </x:c>
      <x:c r="F7" s="21" t="str">
        <x:v>UAL 2024 Form 10-K</x:v>
      </x:c>
    </x:row>
    <x:row r="8">
      <x:c r="A8" t="str">
        <x:v>Other operating revenue</x:v>
      </x:c>
      <x:c r="B8" s="16" t="n">
        <x:v>2752</x:v>
      </x:c>
      <x:c r="C8" s="16" t="n">
        <x:v>3176</x:v>
      </x:c>
      <x:c r="D8" s="16" t="n">
        <x:v>3491</x:v>
      </x:c>
      <x:c r="E8" t="str">
        <x:v>$mm</x:v>
      </x:c>
      <x:c r="F8" s="21" t="str">
        <x:v>UAL 2024 Form 10-K</x:v>
      </x:c>
    </x:row>
    <x:row r="9">
      <x:c r="A9" s="25" t="str">
        <x:v>Total operating revenue</x:v>
      </x:c>
      <x:c r="B9" s="16" t="n">
        <x:v>44955</x:v>
      </x:c>
      <x:c r="C9" s="16" t="n">
        <x:v>53717</x:v>
      </x:c>
      <x:c r="D9" s="16" t="n">
        <x:v>57063</x:v>
      </x:c>
      <x:c r="E9" t="str">
        <x:v>$mm</x:v>
      </x:c>
      <x:c r="F9" s="21" t="str">
        <x:v>UAL 2024 Form 10-K</x:v>
      </x:c>
    </x:row>
    <x:row r="10">
      <x:c r="A10" t="str">
        <x:v>Aircraft fuel expense</x:v>
      </x:c>
      <x:c r="B10" s="16" t="n">
        <x:v>13113</x:v>
      </x:c>
      <x:c r="C10" s="16" t="n">
        <x:v>12651</x:v>
      </x:c>
      <x:c r="D10" s="16" t="n">
        <x:v>11756</x:v>
      </x:c>
      <x:c r="E10" t="str">
        <x:v>$mm</x:v>
      </x:c>
      <x:c r="F10" s="21" t="str">
        <x:v>UAL 2024 Form 10-K</x:v>
      </x:c>
    </x:row>
    <x:row r="11">
      <x:c r="A11" t="str">
        <x:v>Depreciation &amp; amortization</x:v>
      </x:c>
      <x:c r="B11" s="16" t="n">
        <x:v>2456</x:v>
      </x:c>
      <x:c r="C11" s="16" t="n">
        <x:v>2671</x:v>
      </x:c>
      <x:c r="D11" s="16" t="n">
        <x:v>2928</x:v>
      </x:c>
      <x:c r="E11" t="str">
        <x:v>$mm</x:v>
      </x:c>
      <x:c r="F11" s="21" t="str">
        <x:v>UAL 2024 Form 10-K</x:v>
      </x:c>
    </x:row>
    <x:row r="12">
      <x:c r="A12" s="25" t="str">
        <x:v>Total operating expense</x:v>
      </x:c>
      <x:c r="B12" s="16" t="n">
        <x:v>42618</x:v>
      </x:c>
      <x:c r="C12" s="16" t="n">
        <x:v>49506</x:v>
      </x:c>
      <x:c r="D12" s="16" t="n">
        <x:v>51967</x:v>
      </x:c>
      <x:c r="E12" t="str">
        <x:v>$mm</x:v>
      </x:c>
      <x:c r="F12" s="21" t="str">
        <x:v>UAL 2024 Form 10-K</x:v>
      </x:c>
    </x:row>
    <x:row r="13">
      <x:c r="A13" s="25" t="str">
        <x:v>Operating income (EBIT)</x:v>
      </x:c>
      <x:c r="B13" s="16" t="n">
        <x:v>2337</x:v>
      </x:c>
      <x:c r="C13" s="16" t="n">
        <x:v>4211</x:v>
      </x:c>
      <x:c r="D13" s="16" t="n">
        <x:v>5096</x:v>
      </x:c>
      <x:c r="E13" t="str">
        <x:v>$mm</x:v>
      </x:c>
      <x:c r="F13" s="21" t="str">
        <x:v>UAL 2024 Form 10-K</x:v>
      </x:c>
    </x:row>
    <x:row r="14">
      <x:c r="A14" s="25" t="str">
        <x:v>Pretax income</x:v>
      </x:c>
      <x:c r="B14" s="16" t="n">
        <x:v>990</x:v>
      </x:c>
      <x:c r="C14" s="16" t="n">
        <x:v>3387</x:v>
      </x:c>
      <x:c r="D14" s="16" t="n">
        <x:v>4168</x:v>
      </x:c>
      <x:c r="E14" t="str">
        <x:v>$mm</x:v>
      </x:c>
      <x:c r="F14" s="21" t="str">
        <x:v>UAL 2024 Form 10-K</x:v>
      </x:c>
    </x:row>
    <x:row r="15">
      <x:c r="A15" s="25" t="str">
        <x:v>Income tax expense</x:v>
      </x:c>
      <x:c r="B15" s="16" t="n">
        <x:v>253</x:v>
      </x:c>
      <x:c r="C15" s="16" t="n">
        <x:v>769</x:v>
      </x:c>
      <x:c r="D15" s="16" t="n">
        <x:v>1019</x:v>
      </x:c>
      <x:c r="E15" t="str">
        <x:v>$mm</x:v>
      </x:c>
      <x:c r="F15" s="21" t="str">
        <x:v>UAL 2024 Form 10-K</x:v>
      </x:c>
    </x:row>
    <x:row r="16">
      <x:c r="A16" t="str">
        <x:v>Net income</x:v>
      </x:c>
      <x:c r="B16" s="16" t="n">
        <x:v>737</x:v>
      </x:c>
      <x:c r="C16" s="16" t="n">
        <x:v>2618</x:v>
      </x:c>
      <x:c r="D16" s="16" t="n">
        <x:v>3149</x:v>
      </x:c>
      <x:c r="E16" t="str">
        <x:v>$mm</x:v>
      </x:c>
      <x:c r="F16" s="21" t="str">
        <x:v>UAL 2024 Form 10-K</x:v>
      </x:c>
    </x:row>
    <x:row r="17">
      <x:c r="A17" t="str">
        <x:v>Available seat miles (ASM)</x:v>
      </x:c>
      <x:c r="B17" s="16" t="n">
        <x:v>247858</x:v>
      </x:c>
      <x:c r="C17" s="16" t="n">
        <x:v>291333</x:v>
      </x:c>
      <x:c r="D17" s="16" t="n">
        <x:v>311185</x:v>
      </x:c>
      <x:c r="E17" t="str">
        <x:v>mm miles</x:v>
      </x:c>
      <x:c r="F17" s="21" t="str">
        <x:v>UAL 2024 Form 10-K</x:v>
      </x:c>
    </x:row>
    <x:row r="18">
      <x:c r="A18" t="str">
        <x:v>Revenue passenger miles (RPM)</x:v>
      </x:c>
      <x:c r="B18" s="16" t="n">
        <x:v>206791</x:v>
      </x:c>
      <x:c r="C18" s="16" t="n">
        <x:v>244435</x:v>
      </x:c>
      <x:c r="D18" s="16" t="n">
        <x:v>258503</x:v>
      </x:c>
      <x:c r="E18" t="str">
        <x:v>mm miles</x:v>
      </x:c>
      <x:c r="F18" s="21" t="str">
        <x:v>UAL 2024 Form 10-K</x:v>
      </x:c>
    </x:row>
    <x:row r="19">
      <x:c r="A19" t="str">
        <x:v>Passenger load factor</x:v>
      </x:c>
      <x:c r="B19" s="17" t="n">
        <x:v>0.834</x:v>
      </x:c>
      <x:c r="C19" s="17" t="n">
        <x:v>0.839</x:v>
      </x:c>
      <x:c r="D19" s="17" t="n">
        <x:v>0.831</x:v>
      </x:c>
      <x:c r="E19" t="str">
        <x:v>%</x:v>
      </x:c>
      <x:c r="F19" s="21" t="str">
        <x:v>UAL 2024 Form 10-K</x:v>
      </x:c>
    </x:row>
    <x:row r="20">
      <x:c r="A20" t="str">
        <x:v>Passenger yield</x:v>
      </x:c>
      <x:c r="B20" s="18" t="n">
        <x:v>0.1936</x:v>
      </x:c>
      <x:c r="C20" s="18" t="n">
        <x:v>0.2007</x:v>
      </x:c>
      <x:c r="D20" s="18" t="n">
        <x:v>0.2005</x:v>
      </x:c>
      <x:c r="E20" t="str">
        <x:v>$/RPM</x:v>
      </x:c>
      <x:c r="F20" s="21" t="str">
        <x:v>UAL 2024 Form 10-K</x:v>
      </x:c>
    </x:row>
    <x:row r="21">
      <x:c r="A21" t="str">
        <x:v>Average fuel price</x:v>
      </x:c>
      <x:c r="B21" s="18" t="n">
        <x:v>3.63</x:v>
      </x:c>
      <x:c r="C21" s="18" t="n">
        <x:v>3.01</x:v>
      </x:c>
      <x:c r="D21" s="18" t="n">
        <x:v>2.65</x:v>
      </x:c>
      <x:c r="E21" t="str">
        <x:v>$/gal</x:v>
      </x:c>
      <x:c r="F21" s="21" t="str">
        <x:v>UAL 2024 Form 10-K</x:v>
      </x:c>
    </x:row>
    <x:row r="22">
      <x:c r="A22" t="str">
        <x:v>Fuel gallons consumed</x:v>
      </x:c>
      <x:c r="B22" s="19" t="n">
        <x:v>3608</x:v>
      </x:c>
      <x:c r="C22" s="19" t="n">
        <x:v>4205</x:v>
      </x:c>
      <x:c r="D22" s="19" t="n">
        <x:v>4444</x:v>
      </x:c>
      <x:c r="E22" t="str">
        <x:v>mm gal</x:v>
      </x:c>
      <x:c r="F22" s="21" t="str">
        <x:v>UAL 2024 Form 10-K</x:v>
      </x:c>
    </x:row>
    <x:row r="23">
      <x:c r="A23" t="str">
        <x:v>Cash flow from operations</x:v>
      </x:c>
      <x:c r="B23" s="16" t="n">
        <x:v>6066</x:v>
      </x:c>
      <x:c r="C23" s="16" t="n">
        <x:v>6911</x:v>
      </x:c>
      <x:c r="D23" s="16" t="n">
        <x:v>9445</x:v>
      </x:c>
      <x:c r="E23" t="str">
        <x:v>$mm</x:v>
      </x:c>
      <x:c r="F23" s="21" t="str">
        <x:v>UAL 2024 Form 10-K</x:v>
      </x:c>
    </x:row>
    <x:row r="24">
      <x:c r="A24" t="str">
        <x:v>Capital expenditures</x:v>
      </x:c>
      <x:c r="B24" s="16" t="n">
        <x:v>4819</x:v>
      </x:c>
      <x:c r="C24" s="16" t="n">
        <x:v>7171</x:v>
      </x:c>
      <x:c r="D24" s="16" t="n">
        <x:v>5615</x:v>
      </x:c>
      <x:c r="E24" t="str">
        <x:v>$mm</x:v>
      </x:c>
      <x:c r="F24" s="21" t="str">
        <x:v>UAL 2024 Form 10-K</x:v>
      </x:c>
    </x:row>
    <x:row r="25">
      <x:c r="A25" t="str">
        <x:v>ΔNWC increase/(use)</x:v>
      </x:c>
      <x:c r="B25" s="15" t="n">
        <x:v>-2255</x:v>
      </x:c>
      <x:c r="C25" s="15" t="n">
        <x:v>-664</x:v>
      </x:c>
      <x:c r="D25" s="15" t="n">
        <x:v>-1901</x:v>
      </x:c>
      <x:c r="E25" t="str">
        <x:v>$mm</x:v>
      </x:c>
      <x:c r="F25" s="21" t="str">
        <x:v>Reclassified from UAL cash-flow working-capital lines</x:v>
      </x:c>
    </x:row>
    <x:row r="26">
      <x:c r="A26" s="25" t="str">
        <x:v>Non-fuel opex ex D&amp;A</x:v>
      </x:c>
      <x:c r="B26" s="23" t="n">
        <x:f>B12-B10-B11</x:f>
        <x:v>27049</x:v>
      </x:c>
      <x:c r="C26" s="23" t="n">
        <x:f>C12-C10-C11</x:f>
        <x:v>34184</x:v>
      </x:c>
      <x:c r="D26" s="23" t="n">
        <x:f>D12-D10-D11</x:f>
        <x:v>37283</x:v>
      </x:c>
    </x:row>
    <x:row r="27">
      <x:c r="A27" s="25" t="str">
        <x:v>Non-fuel CASM ex D&amp;A</x:v>
      </x:c>
      <x:c r="B27" s="24" t="n">
        <x:f>B26/B17</x:f>
        <x:v>0.10913103470535548</x:v>
      </x:c>
      <x:c r="C27" s="24" t="n">
        <x:f>C26/C17</x:f>
        <x:v>0.11733651869166899</x:v>
      </x:c>
      <x:c r="D27" s="24" t="n">
        <x:f>D26/D17</x:f>
        <x:v>0.11980975946784067</x:v>
      </x:c>
    </x:row>
    <x:row r="28">
      <x:c r="A28" s="25" t="str">
        <x:v>D&amp;A CASM</x:v>
      </x:c>
      <x:c r="B28" s="24" t="n">
        <x:f>B11/B17</x:f>
        <x:v>0.009908899450491815</x:v>
      </x:c>
      <x:c r="C28" s="24" t="n">
        <x:f>C11/C17</x:f>
        <x:v>0.009168202709614085</x:v>
      </x:c>
      <x:c r="D28" s="24" t="n">
        <x:f>D11/D17</x:f>
        <x:v>0.0094091938878802</x:v>
      </x:c>
    </x:row>
    <x:row r="29">
      <x:c r="A29" s="25" t="str">
        <x:v>Fuel gallons per ASM</x:v>
      </x:c>
      <x:c r="B29" s="24" t="n">
        <x:f>B22/B17</x:f>
        <x:v>0.014556721994044978</x:v>
      </x:c>
      <x:c r="C29" s="24" t="n">
        <x:f>C22/C17</x:f>
        <x:v>0.014433654958415284</x:v>
      </x:c>
      <x:c r="D29" s="24" t="n">
        <x:f>D22/D17</x:f>
        <x:v>0.014280894001960249</x:v>
      </x:c>
    </x:row>
    <x:row r="31">
      <x:c r="A31" s="8" t="str">
        <x:v>Valuation Bridge (Q2 2025 balance sheet; August 29, 2025 market price)</x:v>
      </x:c>
      <x:c r="B31" s="8"/>
      <x:c r="C31" s="8"/>
      <x:c r="D31" s="8"/>
      <x:c r="E31" s="8"/>
      <x:c r="F31" s="8"/>
      <x:c r="G31" s="8"/>
      <x:c r="H31" s="8"/>
    </x:row>
    <x:row r="32">
      <x:c r="A32" s="14" t="str">
        <x:v>Metric</x:v>
      </x:c>
      <x:c r="B32" s="14" t="str">
        <x:v>Input / Formula</x:v>
      </x:c>
      <x:c r="C32" s="14" t="str">
        <x:v>Treatment</x:v>
      </x:c>
    </x:row>
    <x:row r="33">
      <x:c r="A33" t="str">
        <x:v>Cash &amp; equivalents</x:v>
      </x:c>
      <x:c r="B33" s="16" t="n">
        <x:v>9354</x:v>
      </x:c>
      <x:c r="C33" s="29" t="str">
        <x:v>Offsets debt</x:v>
      </x:c>
    </x:row>
    <x:row r="34">
      <x:c r="A34" t="str">
        <x:v>Short-term investments</x:v>
      </x:c>
      <x:c r="B34" s="16" t="n">
        <x:v>6262</x:v>
      </x:c>
      <x:c r="C34" s="29" t="str">
        <x:v>Treated as cash-like</x:v>
      </x:c>
    </x:row>
    <x:row r="35">
      <x:c r="A35" t="str">
        <x:v>Current debt / finance liabilities</x:v>
      </x:c>
      <x:c r="B35" s="16" t="n">
        <x:v>6194</x:v>
      </x:c>
      <x:c r="C35" s="29" t="str">
        <x:v>Included</x:v>
      </x:c>
    </x:row>
    <x:row r="36">
      <x:c r="A36" t="str">
        <x:v>Long-term debt / finance liabilities</x:v>
      </x:c>
      <x:c r="B36" s="16" t="n">
        <x:v>20885</x:v>
      </x:c>
      <x:c r="C36" s="29" t="str">
        <x:v>Included</x:v>
      </x:c>
    </x:row>
    <x:row r="37">
      <x:c r="A37" t="str">
        <x:v>Operating lease liabilities</x:v>
      </x:c>
      <x:c r="B37" s="16" t="n">
        <x:v>5707</x:v>
      </x:c>
      <x:c r="C37" s="29" t="str">
        <x:v>Included in equity bridge</x:v>
      </x:c>
    </x:row>
    <x:row r="38">
      <x:c r="A38" t="str">
        <x:v>Pension liability</x:v>
      </x:c>
      <x:c r="B38" s="16" t="n">
        <x:v>1199</x:v>
      </x:c>
      <x:c r="C38" s="29" t="str">
        <x:v>Included in equity bridge</x:v>
      </x:c>
    </x:row>
    <x:row r="39">
      <x:c r="A39" t="str">
        <x:v>Shares outstanding</x:v>
      </x:c>
      <x:c r="B39" s="65" t="n">
        <x:v>323.732094</x:v>
      </x:c>
      <x:c r="C39" s="29" t="str">
        <x:v>mm shares at July 10, 2025</x:v>
      </x:c>
    </x:row>
    <x:row r="40">
      <x:c r="A40" t="str">
        <x:v>UAL market price</x:v>
      </x:c>
      <x:c r="B40" s="117" t="n">
        <x:v>105</x:v>
      </x:c>
      <x:c r="C40" s="29" t="str">
        <x:v>Official historical close</x:v>
      </x:c>
    </x:row>
    <x:row r="41">
      <x:c r="A41" t="str">
        <x:v>Short-term investments cash-like %</x:v>
      </x:c>
      <x:c r="B41" s="118" t="n">
        <x:v>1</x:v>
      </x:c>
      <x:c r="C41" s="29" t="str">
        <x:v>100% cash-like</x:v>
      </x:c>
    </x:row>
    <x:row r="42">
      <x:c r="A42" s="25" t="str">
        <x:v>Lease- and pension-adjusted net debt</x:v>
      </x:c>
      <x:c r="B42" s="28" t="n">
        <x:f>B35+B36+B37+B38-B33-(B34*B41)</x:f>
        <x:v>18369</x:v>
      </x:c>
      <x:c r="C42" s="29" t="str">
        <x:v>Debt + operating leases + pension − cash − investments</x:v>
      </x:c>
    </x:row>
    <x:row r="43">
      <x:c r="A43" s="25" t="str">
        <x:v>Market capitalization</x:v>
      </x:c>
      <x:c r="B43" s="28" t="n">
        <x:f>B39*B40</x:f>
        <x:v>33991.86987</x:v>
      </x:c>
      <x:c r="C43" s="29" t="str">
        <x:v>Shares × market price</x:v>
      </x:c>
    </x:row>
    <x:row r="44">
      <x:c r="A44" s="25" t="str">
        <x:v>Market enterprise value</x:v>
      </x:c>
      <x:c r="B44" s="28" t="n">
        <x:f>B42+B43</x:f>
        <x:v>52360.86987</x:v>
      </x:c>
      <x:c r="C44" s="29" t="str">
        <x:v>Market cap + adjusted net debt</x:v>
      </x:c>
    </x:row>
    <x:row r="45">
      <x:c r="A45" s="25" t="str">
        <x:v>Standard net debt (reference)</x:v>
      </x:c>
      <x:c r="B45" s="28" t="n">
        <x:f>B35+B36-B33-B34</x:f>
        <x:v>11463</x:v>
      </x:c>
      <x:c r="C45" s="29" t="str">
        <x:v>Debt and finance leases − cash − short-term investments</x:v>
      </x:c>
    </x:row>
    <x:row r="47">
      <x:c r="A47" s="8" t="str">
        <x:v>Base Forecast Assumptions</x:v>
      </x:c>
      <x:c r="B47" s="8"/>
      <x:c r="C47" s="8"/>
      <x:c r="D47" s="8"/>
      <x:c r="E47" s="8"/>
      <x:c r="F47" s="8"/>
      <x:c r="G47" s="8"/>
      <x:c r="H47" s="8"/>
    </x:row>
    <x:row r="48">
      <x:c r="A48" s="14" t="str">
        <x:v>Driver</x:v>
      </x:c>
      <x:c r="B48" s="14" t="str">
        <x:v>2025E</x:v>
      </x:c>
      <x:c r="C48" s="14" t="str">
        <x:v>2026E</x:v>
      </x:c>
      <x:c r="D48" s="14" t="str">
        <x:v>2027E</x:v>
      </x:c>
      <x:c r="E48" s="14" t="str">
        <x:v>2028E</x:v>
      </x:c>
      <x:c r="F48" s="14" t="str">
        <x:v>2029E</x:v>
      </x:c>
      <x:c r="G48" s="14" t="str">
        <x:v>2030E</x:v>
      </x:c>
    </x:row>
    <x:row r="49">
      <x:c r="A49" t="str">
        <x:v>ASM growth</x:v>
      </x:c>
      <x:c r="B49" s="17" t="n">
        <x:v>0.045</x:v>
      </x:c>
      <x:c r="C49" s="17" t="n">
        <x:v>0.04</x:v>
      </x:c>
      <x:c r="D49" s="17" t="n">
        <x:v>0.035</x:v>
      </x:c>
      <x:c r="E49" s="17" t="n">
        <x:v>0.03</x:v>
      </x:c>
      <x:c r="F49" s="17" t="n">
        <x:v>0.03</x:v>
      </x:c>
      <x:c r="G49" s="17" t="n">
        <x:v>0.03</x:v>
      </x:c>
    </x:row>
    <x:row r="50">
      <x:c r="A50" t="str">
        <x:v>Passenger load factor</x:v>
      </x:c>
      <x:c r="B50" s="17" t="n">
        <x:v>0.832</x:v>
      </x:c>
      <x:c r="C50" s="17" t="n">
        <x:v>0.833</x:v>
      </x:c>
      <x:c r="D50" s="17" t="n">
        <x:v>0.834</x:v>
      </x:c>
      <x:c r="E50" s="17" t="n">
        <x:v>0.835</x:v>
      </x:c>
      <x:c r="F50" s="17" t="n">
        <x:v>0.836</x:v>
      </x:c>
      <x:c r="G50" s="17" t="n">
        <x:v>0.837</x:v>
      </x:c>
    </x:row>
    <x:row r="51">
      <x:c r="A51" t="str">
        <x:v>Yield growth</x:v>
      </x:c>
      <x:c r="B51" s="17" t="n">
        <x:v>0.01</x:v>
      </x:c>
      <x:c r="C51" s="17" t="n">
        <x:v>0.01</x:v>
      </x:c>
      <x:c r="D51" s="17" t="n">
        <x:v>0.01</x:v>
      </x:c>
      <x:c r="E51" s="17" t="n">
        <x:v>0.01</x:v>
      </x:c>
      <x:c r="F51" s="17" t="n">
        <x:v>0.01</x:v>
      </x:c>
      <x:c r="G51" s="17" t="n">
        <x:v>0.01</x:v>
      </x:c>
    </x:row>
    <x:row r="52">
      <x:c r="A52" t="str">
        <x:v>Cargo &amp; other revenue growth</x:v>
      </x:c>
      <x:c r="B52" s="17" t="n">
        <x:v>0.05</x:v>
      </x:c>
      <x:c r="C52" s="17" t="n">
        <x:v>0.045</x:v>
      </x:c>
      <x:c r="D52" s="17" t="n">
        <x:v>0.04</x:v>
      </x:c>
      <x:c r="E52" s="17" t="n">
        <x:v>0.04</x:v>
      </x:c>
      <x:c r="F52" s="17" t="n">
        <x:v>0.035</x:v>
      </x:c>
      <x:c r="G52" s="17" t="n">
        <x:v>0.035</x:v>
      </x:c>
    </x:row>
    <x:row r="53">
      <x:c r="A53" t="str">
        <x:v>Average fuel price ($/gal)</x:v>
      </x:c>
      <x:c r="B53" s="19" t="n">
        <x:v>2.65</x:v>
      </x:c>
      <x:c r="C53" s="19" t="n">
        <x:v>2.7</x:v>
      </x:c>
      <x:c r="D53" s="19" t="n">
        <x:v>2.75</x:v>
      </x:c>
      <x:c r="E53" s="19" t="n">
        <x:v>2.8</x:v>
      </x:c>
      <x:c r="F53" s="19" t="n">
        <x:v>2.85</x:v>
      </x:c>
      <x:c r="G53" s="19" t="n">
        <x:v>2.9</x:v>
      </x:c>
    </x:row>
    <x:row r="54">
      <x:c r="A54" t="str">
        <x:v>Fuel efficiency improvement</x:v>
      </x:c>
      <x:c r="B54" s="17" t="n">
        <x:v>0.01</x:v>
      </x:c>
      <x:c r="C54" s="17" t="n">
        <x:v>0.01</x:v>
      </x:c>
      <x:c r="D54" s="17" t="n">
        <x:v>0.01</x:v>
      </x:c>
      <x:c r="E54" s="17" t="n">
        <x:v>0.01</x:v>
      </x:c>
      <x:c r="F54" s="17" t="n">
        <x:v>0.01</x:v>
      </x:c>
      <x:c r="G54" s="17" t="n">
        <x:v>0.01</x:v>
      </x:c>
    </x:row>
    <x:row r="55">
      <x:c r="A55" t="str">
        <x:v>Non-fuel CASM growth</x:v>
      </x:c>
      <x:c r="B55" s="17" t="n">
        <x:v>0.005</x:v>
      </x:c>
      <x:c r="C55" s="17" t="n">
        <x:v>0.005</x:v>
      </x:c>
      <x:c r="D55" s="17" t="n">
        <x:v>0.005</x:v>
      </x:c>
      <x:c r="E55" s="17" t="n">
        <x:v>0.005</x:v>
      </x:c>
      <x:c r="F55" s="17" t="n">
        <x:v>0.005</x:v>
      </x:c>
      <x:c r="G55" s="17" t="n">
        <x:v>0.005</x:v>
      </x:c>
    </x:row>
    <x:row r="56">
      <x:c r="A56" t="str">
        <x:v>D&amp;A CASM growth</x:v>
      </x:c>
      <x:c r="B56" s="17" t="n">
        <x:v>0.01</x:v>
      </x:c>
      <x:c r="C56" s="17" t="n">
        <x:v>0.01</x:v>
      </x:c>
      <x:c r="D56" s="17" t="n">
        <x:v>0.01</x:v>
      </x:c>
      <x:c r="E56" s="17" t="n">
        <x:v>0.01</x:v>
      </x:c>
      <x:c r="F56" s="17" t="n">
        <x:v>0.01</x:v>
      </x:c>
      <x:c r="G56" s="17" t="n">
        <x:v>0.01</x:v>
      </x:c>
    </x:row>
    <x:row r="57">
      <x:c r="A57" t="str">
        <x:v>Capex as % of revenue</x:v>
      </x:c>
      <x:c r="B57" s="17" t="n">
        <x:v>0.11</x:v>
      </x:c>
      <x:c r="C57" s="17" t="n">
        <x:v>0.105</x:v>
      </x:c>
      <x:c r="D57" s="17" t="n">
        <x:v>0.1</x:v>
      </x:c>
      <x:c r="E57" s="17" t="n">
        <x:v>0.095</x:v>
      </x:c>
      <x:c r="F57" s="17" t="n">
        <x:v>0.091</x:v>
      </x:c>
      <x:c r="G57" s="17" t="n">
        <x:v>0.0885</x:v>
      </x:c>
    </x:row>
    <x:row r="58">
      <x:c r="A58" t="str">
        <x:v>ΔNWC as % of revenue</x:v>
      </x:c>
      <x:c r="B58" s="17" t="n">
        <x:v>-0.004</x:v>
      </x:c>
      <x:c r="C58" s="17" t="n">
        <x:v>-0.003</x:v>
      </x:c>
      <x:c r="D58" s="17" t="n">
        <x:v>-0.002</x:v>
      </x:c>
      <x:c r="E58" s="17" t="n">
        <x:v>-0.001</x:v>
      </x:c>
      <x:c r="F58" s="17" t="n">
        <x:v>0</x:v>
      </x:c>
      <x:c r="G58" s="17" t="n">
        <x:v>0</x:v>
      </x:c>
    </x:row>
    <x:row r="59">
      <x:c r="A59" t="str">
        <x:v>Tax rate</x:v>
      </x:c>
      <x:c r="B59" s="17" t="n">
        <x:v>0.245</x:v>
      </x:c>
      <x:c r="C59" s="17" t="n">
        <x:v>0.245</x:v>
      </x:c>
      <x:c r="D59" s="17" t="n">
        <x:v>0.245</x:v>
      </x:c>
      <x:c r="E59" s="17" t="n">
        <x:v>0.245</x:v>
      </x:c>
      <x:c r="F59" s="17" t="n">
        <x:v>0.245</x:v>
      </x:c>
      <x:c r="G59" s="17" t="n">
        <x:v>0.245</x:v>
      </x:c>
    </x:row>
    <x:row r="60">
      <x:c r="A60" t="str">
        <x:v>WACC</x:v>
      </x:c>
      <x:c r="B60" s="119" t="n">
        <x:v>0.09</x:v>
      </x:c>
      <x:c r="C60" s="119" t="n">
        <x:v>0.09</x:v>
      </x:c>
      <x:c r="D60" s="119" t="n">
        <x:v>0.09</x:v>
      </x:c>
      <x:c r="E60" s="119" t="n">
        <x:v>0.09</x:v>
      </x:c>
      <x:c r="F60" s="119" t="n">
        <x:v>0.09</x:v>
      </x:c>
      <x:c r="G60" s="119" t="n">
        <x:v>0.09</x:v>
      </x:c>
    </x:row>
    <x:row r="61">
      <x:c r="A61" t="str">
        <x:v>Terminal growth rate</x:v>
      </x:c>
      <x:c r="B61" s="119" t="n">
        <x:v>0.025</x:v>
      </x:c>
      <x:c r="C61" s="119" t="n">
        <x:v>0.025</x:v>
      </x:c>
      <x:c r="D61" s="119" t="n">
        <x:v>0.025</x:v>
      </x:c>
      <x:c r="E61" s="119" t="n">
        <x:v>0.025</x:v>
      </x:c>
      <x:c r="F61" s="119" t="n">
        <x:v>0.025</x:v>
      </x:c>
      <x:c r="G61" s="119" t="n">
        <x:v>0.025</x:v>
      </x:c>
    </x:row>
    <x:row r="62">
      <x:c r="A62" t="str">
        <x:v>Terminal ROIC</x:v>
      </x:c>
      <x:c r="B62" s="119" t="n">
        <x:v>0.1</x:v>
      </x:c>
      <x:c r="C62" s="119" t="n">
        <x:v>0.1</x:v>
      </x:c>
      <x:c r="D62" s="119" t="n">
        <x:v>0.1</x:v>
      </x:c>
      <x:c r="E62" s="119" t="n">
        <x:v>0.1</x:v>
      </x:c>
      <x:c r="F62" s="119" t="n">
        <x:v>0.1</x:v>
      </x:c>
      <x:c r="G62" s="119" t="n">
        <x:v>0.1</x:v>
      </x:c>
    </x:row>
    <x:row r="63" ht="44" customHeight="1">
      <x:c r="A63" s="33" t="str">
        <x:v>Method note: 9.0% WACC rounds a formulaic 8.84% build using a 4.23% risk-free rate, 6.0% normalized ERP, 1.324 beta, and 6.15% pre-tax debt cost. Terminal value assumes 10.0% terminal ROIC, so the 2.5% growth rate requires 25.0% reinvestment.</x:v>
      </x:c>
      <x:c r="B63" s="33"/>
      <x:c r="C63" s="33"/>
      <x:c r="D63" s="33"/>
      <x:c r="E63" s="33"/>
      <x:c r="F63" s="33"/>
      <x:c r="G63" s="33"/>
      <x:c r="H63" s="33"/>
    </x:row>
    <x:row r="64">
      <x:c r="A64" s="33"/>
      <x:c r="B64" s="33"/>
      <x:c r="C64" s="33"/>
      <x:c r="D64" s="33"/>
      <x:c r="E64" s="33"/>
      <x:c r="F64" s="33"/>
      <x:c r="G64" s="33"/>
      <x:c r="H64" s="33"/>
    </x:row>
    <x:row r="65">
      <x:c r="A65" s="33"/>
      <x:c r="B65" s="33"/>
      <x:c r="C65" s="33"/>
      <x:c r="D65" s="33"/>
      <x:c r="E65" s="33"/>
      <x:c r="F65" s="33"/>
      <x:c r="G65" s="33"/>
      <x:c r="H65" s="33"/>
    </x:row>
  </x:sheetData>
  <x:mergeCells>
    <x:mergeCell ref="A1:H1"/>
    <x:mergeCell ref="A2:H2"/>
    <x:mergeCell ref="A4:H4"/>
    <x:mergeCell ref="A31:H31"/>
    <x:mergeCell ref="A47:H47"/>
    <x:mergeCell ref="A63:G63"/>
  </x:mergeCells>
  <x:pageMargins left="0.7" right="0.7" top="0.75" bottom="0.75" header="0.3" footer="0.3"/>
  <x:legacyDrawing xmlns:r="http://schemas.openxmlformats.org/officeDocument/2006/relationships" r:id="Rce5507d3023445df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28" customHeight="1">
      <x:c r="A1" s="3" t="str">
        <x:v>United Airlines — DCF Valuation (Base Case)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>
      <x:c r="A2" s="6" t="str">
        <x:v>$ in millions except per-share data | 2022–2024 actuals; 2025–2030 forecast | Gordon growth with normalized terminal reinvestment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4">
      <x:c r="A4" s="14" t="str">
        <x:v>Metric</x:v>
      </x:c>
      <x:c r="B4" s="35" t="str">
        <x:v>2022A</x:v>
      </x:c>
      <x:c r="C4" s="35" t="str">
        <x:v>2023A</x:v>
      </x:c>
      <x:c r="D4" s="35" t="str">
        <x:v>2024A</x:v>
      </x:c>
      <x:c r="E4" s="37" t="str">
        <x:v>2025E</x:v>
      </x:c>
      <x:c r="F4" s="37" t="str">
        <x:v>2026E</x:v>
      </x:c>
      <x:c r="G4" s="37" t="str">
        <x:v>2027E</x:v>
      </x:c>
      <x:c r="H4" s="37" t="str">
        <x:v>2028E</x:v>
      </x:c>
      <x:c r="I4" s="37" t="str">
        <x:v>2029E</x:v>
      </x:c>
      <x:c r="J4" s="37" t="str">
        <x:v>2030E</x:v>
      </x:c>
    </x:row>
    <x:row r="6">
      <x:c r="A6" t="str">
        <x:v>Available seat miles (ASM)</x:v>
      </x:c>
      <x:c r="B6" s="23" t="n">
        <x:f>'UAL Inputs'!B17</x:f>
        <x:v>247858</x:v>
      </x:c>
      <x:c r="C6" s="23" t="n">
        <x:f>'UAL Inputs'!C17</x:f>
        <x:v>291333</x:v>
      </x:c>
      <x:c r="D6" s="23" t="n">
        <x:f>'UAL Inputs'!D17</x:f>
        <x:v>311185</x:v>
      </x:c>
      <x:c r="E6" s="43" t="n">
        <x:f>D6*(1+'UAL Inputs'!B49)</x:f>
        <x:v>325188.32499999995</x:v>
      </x:c>
      <x:c r="F6" s="43" t="n">
        <x:f>E6*(1+'UAL Inputs'!C49)</x:f>
        <x:v>338195.85799999995</x:v>
      </x:c>
      <x:c r="G6" s="43" t="n">
        <x:f>F6*(1+'UAL Inputs'!D49)</x:f>
        <x:v>350032.7130299999</x:v>
      </x:c>
      <x:c r="H6" s="43" t="n">
        <x:f>G6*(1+'UAL Inputs'!E49)</x:f>
        <x:v>360533.6944208999</x:v>
      </x:c>
      <x:c r="I6" s="43" t="n">
        <x:f>H6*(1+'UAL Inputs'!F49)</x:f>
        <x:v>371349.7052535269</x:v>
      </x:c>
      <x:c r="J6" s="43" t="n">
        <x:f>I6*(1+'UAL Inputs'!G49)</x:f>
        <x:v>382490.19641113275</x:v>
      </x:c>
    </x:row>
    <x:row r="7">
      <x:c r="A7" t="str">
        <x:v>Passenger load factor</x:v>
      </x:c>
      <x:c r="B7" s="44" t="n">
        <x:f>'UAL Inputs'!B19</x:f>
        <x:v>0.834</x:v>
      </x:c>
      <x:c r="C7" s="44" t="n">
        <x:f>'UAL Inputs'!C19</x:f>
        <x:v>0.839</x:v>
      </x:c>
      <x:c r="D7" s="44" t="n">
        <x:f>'UAL Inputs'!D19</x:f>
        <x:v>0.831</x:v>
      </x:c>
      <x:c r="E7" s="45" t="n">
        <x:f>'UAL Inputs'!B50</x:f>
        <x:v>0.832</x:v>
      </x:c>
      <x:c r="F7" s="45" t="n">
        <x:f>'UAL Inputs'!C50</x:f>
        <x:v>0.833</x:v>
      </x:c>
      <x:c r="G7" s="45" t="n">
        <x:f>'UAL Inputs'!D50</x:f>
        <x:v>0.834</x:v>
      </x:c>
      <x:c r="H7" s="45" t="n">
        <x:f>'UAL Inputs'!E50</x:f>
        <x:v>0.835</x:v>
      </x:c>
      <x:c r="I7" s="45" t="n">
        <x:f>'UAL Inputs'!F50</x:f>
        <x:v>0.836</x:v>
      </x:c>
      <x:c r="J7" s="45" t="n">
        <x:f>'UAL Inputs'!G50</x:f>
        <x:v>0.837</x:v>
      </x:c>
    </x:row>
    <x:row r="8">
      <x:c r="A8" t="str">
        <x:v>Revenue passenger miles (RPM)</x:v>
      </x:c>
      <x:c r="B8" s="23" t="n">
        <x:f>'UAL Inputs'!B18</x:f>
        <x:v>206791</x:v>
      </x:c>
      <x:c r="C8" s="23" t="n">
        <x:f>'UAL Inputs'!C18</x:f>
        <x:v>244435</x:v>
      </x:c>
      <x:c r="D8" s="23" t="n">
        <x:f>'UAL Inputs'!D18</x:f>
        <x:v>258503</x:v>
      </x:c>
      <x:c r="E8" s="43" t="n">
        <x:f>E6*E7</x:f>
        <x:v>270556.68639999995</x:v>
      </x:c>
      <x:c r="F8" s="43" t="n">
        <x:f>F6*F7</x:f>
        <x:v>281717.14971399994</x:v>
      </x:c>
      <x:c r="G8" s="43" t="n">
        <x:f>G6*G7</x:f>
        <x:v>291927.2826670199</x:v>
      </x:c>
      <x:c r="H8" s="43" t="n">
        <x:f>H6*H7</x:f>
        <x:v>301045.6348414514</x:v>
      </x:c>
      <x:c r="I8" s="43" t="n">
        <x:f>I6*I7</x:f>
        <x:v>310448.3535919485</x:v>
      </x:c>
      <x:c r="J8" s="43" t="n">
        <x:f>J6*J7</x:f>
        <x:v>320144.2943961181</x:v>
      </x:c>
    </x:row>
    <x:row r="9">
      <x:c r="A9" t="str">
        <x:v>Passenger yield ($/RPM)</x:v>
      </x:c>
      <x:c r="B9" s="46" t="n">
        <x:f>'UAL Inputs'!B20</x:f>
        <x:v>0.1936</x:v>
      </x:c>
      <x:c r="C9" s="46" t="n">
        <x:f>'UAL Inputs'!C20</x:f>
        <x:v>0.2007</x:v>
      </x:c>
      <x:c r="D9" s="46" t="n">
        <x:f>'UAL Inputs'!D20</x:f>
        <x:v>0.2005</x:v>
      </x:c>
      <x:c r="E9" s="47" t="n">
        <x:f>D9*(1+'UAL Inputs'!B51)</x:f>
        <x:v>0.20250500000000002</x:v>
      </x:c>
      <x:c r="F9" s="47" t="n">
        <x:f>E9*(1+'UAL Inputs'!C51)</x:f>
        <x:v>0.20453005000000002</x:v>
      </x:c>
      <x:c r="G9" s="47" t="n">
        <x:f>F9*(1+'UAL Inputs'!D51)</x:f>
        <x:v>0.20657535050000003</x:v>
      </x:c>
      <x:c r="H9" s="47" t="n">
        <x:f>G9*(1+'UAL Inputs'!E51)</x:f>
        <x:v>0.20864110400500002</x:v>
      </x:c>
      <x:c r="I9" s="47" t="n">
        <x:f>H9*(1+'UAL Inputs'!F51)</x:f>
        <x:v>0.21072751504505002</x:v>
      </x:c>
      <x:c r="J9" s="47" t="n">
        <x:f>I9*(1+'UAL Inputs'!G51)</x:f>
        <x:v>0.21283479019550053</x:v>
      </x:c>
    </x:row>
    <x:row r="10">
      <x:c r="A10" t="str">
        <x:v>Passenger revenue</x:v>
      </x:c>
      <x:c r="B10" s="39" t="n">
        <x:f>'UAL Inputs'!B6</x:f>
        <x:v>40032</x:v>
      </x:c>
      <x:c r="C10" s="39" t="n">
        <x:f>'UAL Inputs'!C6</x:f>
        <x:v>49046</x:v>
      </x:c>
      <x:c r="D10" s="39" t="n">
        <x:f>'UAL Inputs'!D6</x:f>
        <x:v>51829</x:v>
      </x:c>
      <x:c r="E10" s="40" t="n">
        <x:f>E8*E9</x:f>
        <x:v>54789.081779431996</x:v>
      </x:c>
      <x:c r="F10" s="40" t="n">
        <x:f>F8*F9</x:f>
        <x:v>57619.6227168619</x:v>
      </x:c>
      <x:c r="G10" s="40" t="n">
        <x:f>G8*G9</x:f>
        <x:v>60304.98073745223</x:v>
      </x:c>
      <x:c r="H10" s="40" t="n">
        <x:f>H8*H9</x:f>
        <x:v>62810.493609206525</x:v>
      </x:c>
      <x:c r="I10" s="40" t="n">
        <x:f>I8*I9</x:f>
        <x:v>65420.01010225834</x:v>
      </x:c>
      <x:c r="J10" s="40" t="n">
        <x:f>J8*J9</x:f>
        <x:v>68137.84373008435</x:v>
      </x:c>
    </x:row>
    <x:row r="11">
      <x:c r="A11" t="str">
        <x:v>Cargo &amp; other revenue</x:v>
      </x:c>
      <x:c r="B11" s="39" t="n">
        <x:f>'UAL Inputs'!B7+'UAL Inputs'!B8</x:f>
        <x:v>4923</x:v>
      </x:c>
      <x:c r="C11" s="39" t="n">
        <x:f>'UAL Inputs'!C7+'UAL Inputs'!C8</x:f>
        <x:v>4671</x:v>
      </x:c>
      <x:c r="D11" s="39" t="n">
        <x:f>'UAL Inputs'!D7+'UAL Inputs'!D8</x:f>
        <x:v>5234</x:v>
      </x:c>
      <x:c r="E11" s="40" t="n">
        <x:f>D11*(1+'UAL Inputs'!B52)</x:f>
        <x:v>5495.7</x:v>
      </x:c>
      <x:c r="F11" s="40" t="n">
        <x:f>E11*(1+'UAL Inputs'!C52)</x:f>
        <x:v>5743.0064999999995</x:v>
      </x:c>
      <x:c r="G11" s="40" t="n">
        <x:f>F11*(1+'UAL Inputs'!D52)</x:f>
        <x:v>5972.72676</x:v>
      </x:c>
      <x:c r="H11" s="40" t="n">
        <x:f>G11*(1+'UAL Inputs'!E52)</x:f>
        <x:v>6211.6358304</x:v>
      </x:c>
      <x:c r="I11" s="40" t="n">
        <x:f>H11*(1+'UAL Inputs'!F52)</x:f>
        <x:v>6429.043084463999</x:v>
      </x:c>
      <x:c r="J11" s="40" t="n">
        <x:f>I11*(1+'UAL Inputs'!G52)</x:f>
        <x:v>6654.059592420238</x:v>
      </x:c>
    </x:row>
    <x:row r="12">
      <x:c r="A12" s="25" t="str">
        <x:v>Total operating revenue</x:v>
      </x:c>
      <x:c r="B12" s="39" t="n">
        <x:f>'UAL Inputs'!B9</x:f>
        <x:v>44955</x:v>
      </x:c>
      <x:c r="C12" s="39" t="n">
        <x:f>'UAL Inputs'!C9</x:f>
        <x:v>53717</x:v>
      </x:c>
      <x:c r="D12" s="39" t="n">
        <x:f>'UAL Inputs'!D9</x:f>
        <x:v>57063</x:v>
      </x:c>
      <x:c r="E12" s="40" t="n">
        <x:f>E10+E11</x:f>
        <x:v>60284.78177943199</x:v>
      </x:c>
      <x:c r="F12" s="40" t="n">
        <x:f>F10+F11</x:f>
        <x:v>63362.6292168619</x:v>
      </x:c>
      <x:c r="G12" s="40" t="n">
        <x:f>G10+G11</x:f>
        <x:v>66277.70749745223</x:v>
      </x:c>
      <x:c r="H12" s="40" t="n">
        <x:f>H10+H11</x:f>
        <x:v>69022.12943960652</x:v>
      </x:c>
      <x:c r="I12" s="40" t="n">
        <x:f>I10+I11</x:f>
        <x:v>71849.05318672233</x:v>
      </x:c>
      <x:c r="J12" s="40" t="n">
        <x:f>J10+J11</x:f>
        <x:v>74791.90332250459</x:v>
      </x:c>
    </x:row>
    <x:row r="13">
      <x:c r="A13" t="str">
        <x:v>Revenue growth</x:v>
      </x:c>
      <x:c r="B13" s="44"/>
      <x:c r="C13" s="44" t="n">
        <x:f>C12/B12-1</x:f>
        <x:v>0.1949060171282393</x:v>
      </x:c>
      <x:c r="D13" s="44" t="n">
        <x:f>D12/C12-1</x:f>
        <x:v>0.06228940558854745</x:v>
      </x:c>
      <x:c r="E13" s="45" t="n">
        <x:f>E12/D12-1</x:f>
        <x:v>0.05646008410760017</x:v>
      </x:c>
      <x:c r="F13" s="45" t="n">
        <x:f>F12/E12-1</x:f>
        <x:v>0.051055131105741225</x:v>
      </x:c>
      <x:c r="G13" s="45" t="n">
        <x:f>G12/F12-1</x:f>
        <x:v>0.04600627083534237</x:v>
      </x:c>
      <x:c r="H13" s="45" t="n">
        <x:f>H12/G12-1</x:f>
        <x:v>0.041407918978787706</x:v>
      </x:c>
      <x:c r="I13" s="45" t="n">
        <x:f>I12/H12-1</x:f>
        <x:v>0.04095677386466812</x:v>
      </x:c>
      <x:c r="J13" s="45" t="n">
        <x:f>J12/I12-1</x:f>
        <x:v>0.04095878797643082</x:v>
      </x:c>
    </x:row>
    <x:row r="14">
      <x:c r="A14" s="4" t="str"/>
      <x:c r="B14" s="41"/>
      <x:c r="C14" s="41"/>
      <x:c r="D14" s="41"/>
      <x:c r="E14" s="42"/>
      <x:c r="F14" s="42"/>
      <x:c r="G14" s="42"/>
      <x:c r="H14" s="42"/>
      <x:c r="I14" s="42"/>
      <x:c r="J14" s="42"/>
    </x:row>
    <x:row r="15">
      <x:c r="A15" t="str">
        <x:v>Average fuel price ($/gal)</x:v>
      </x:c>
      <x:c r="B15" s="48" t="n">
        <x:f>'UAL Inputs'!B21</x:f>
        <x:v>3.63</x:v>
      </x:c>
      <x:c r="C15" s="48" t="n">
        <x:f>'UAL Inputs'!C21</x:f>
        <x:v>3.01</x:v>
      </x:c>
      <x:c r="D15" s="48" t="n">
        <x:f>'UAL Inputs'!D21</x:f>
        <x:v>2.65</x:v>
      </x:c>
      <x:c r="E15" s="49" t="n">
        <x:f>'UAL Inputs'!B53</x:f>
        <x:v>2.65</x:v>
      </x:c>
      <x:c r="F15" s="49" t="n">
        <x:f>'UAL Inputs'!C53</x:f>
        <x:v>2.7</x:v>
      </x:c>
      <x:c r="G15" s="49" t="n">
        <x:f>'UAL Inputs'!D53</x:f>
        <x:v>2.75</x:v>
      </x:c>
      <x:c r="H15" s="49" t="n">
        <x:f>'UAL Inputs'!E53</x:f>
        <x:v>2.8</x:v>
      </x:c>
      <x:c r="I15" s="49" t="n">
        <x:f>'UAL Inputs'!F53</x:f>
        <x:v>2.85</x:v>
      </x:c>
      <x:c r="J15" s="49" t="n">
        <x:f>'UAL Inputs'!G53</x:f>
        <x:v>2.9</x:v>
      </x:c>
    </x:row>
    <x:row r="16">
      <x:c r="A16" t="str">
        <x:v>Fuel gallons per ASM</x:v>
      </x:c>
      <x:c r="B16" s="24" t="n">
        <x:f>'UAL Inputs'!B29</x:f>
        <x:v>0.014556721994044978</x:v>
      </x:c>
      <x:c r="C16" s="24" t="n">
        <x:f>'UAL Inputs'!C29</x:f>
        <x:v>0.014433654958415284</x:v>
      </x:c>
      <x:c r="D16" s="24" t="n">
        <x:f>'UAL Inputs'!D29</x:f>
        <x:v>0.014280894001960249</x:v>
      </x:c>
      <x:c r="E16" s="50" t="n">
        <x:f>D16*(1-'UAL Inputs'!B54)</x:f>
        <x:v>0.014138085061940645</x:v>
      </x:c>
      <x:c r="F16" s="50" t="n">
        <x:f>E16*(1-'UAL Inputs'!C54)</x:f>
        <x:v>0.013996704211321239</x:v>
      </x:c>
      <x:c r="G16" s="50" t="n">
        <x:f>F16*(1-'UAL Inputs'!D54)</x:f>
        <x:v>0.013856737169208027</x:v>
      </x:c>
      <x:c r="H16" s="50" t="n">
        <x:f>G16*(1-'UAL Inputs'!E54)</x:f>
        <x:v>0.013718169797515946</x:v>
      </x:c>
      <x:c r="I16" s="50" t="n">
        <x:f>H16*(1-'UAL Inputs'!F54)</x:f>
        <x:v>0.013580988099540786</x:v>
      </x:c>
      <x:c r="J16" s="50" t="n">
        <x:f>I16*(1-'UAL Inputs'!G54)</x:f>
        <x:v>0.013445178218545378</x:v>
      </x:c>
    </x:row>
    <x:row r="17">
      <x:c r="A17" t="str">
        <x:v>Fuel gallons consumed</x:v>
      </x:c>
      <x:c r="B17" s="39" t="n">
        <x:f>'UAL Inputs'!B22</x:f>
        <x:v>3608</x:v>
      </x:c>
      <x:c r="C17" s="39" t="n">
        <x:f>'UAL Inputs'!C22</x:f>
        <x:v>4205</x:v>
      </x:c>
      <x:c r="D17" s="39" t="n">
        <x:f>'UAL Inputs'!D22</x:f>
        <x:v>4444</x:v>
      </x:c>
      <x:c r="E17" s="40" t="n">
        <x:f>E6*E16</x:f>
        <x:v>4597.5401999999995</x:v>
      </x:c>
      <x:c r="F17" s="40" t="n">
        <x:f>F6*F16</x:f>
        <x:v>4733.627389919999</x:v>
      </x:c>
      <x:c r="G17" s="40" t="n">
        <x:f>G6*G16</x:f>
        <x:v>4850.311305081527</x:v>
      </x:c>
      <x:c r="H17" s="40" t="n">
        <x:f>H6*H16</x:f>
        <x:v>4945.862437791632</x:v>
      </x:c>
      <x:c r="I17" s="40" t="n">
        <x:f>I6*I16</x:f>
        <x:v>5043.295927816128</x:v>
      </x:c>
      <x:c r="J17" s="40" t="n">
        <x:f>J6*J16</x:f>
        <x:v>5142.648857594106</x:v>
      </x:c>
    </x:row>
    <x:row r="18">
      <x:c r="A18" t="str">
        <x:v>Aircraft fuel expense</x:v>
      </x:c>
      <x:c r="B18" s="39" t="n">
        <x:f>'UAL Inputs'!B10</x:f>
        <x:v>13113</x:v>
      </x:c>
      <x:c r="C18" s="39" t="n">
        <x:f>'UAL Inputs'!C10</x:f>
        <x:v>12651</x:v>
      </x:c>
      <x:c r="D18" s="39" t="n">
        <x:f>'UAL Inputs'!D10</x:f>
        <x:v>11756</x:v>
      </x:c>
      <x:c r="E18" s="40" t="n">
        <x:f>E15*E17</x:f>
        <x:v>12183.481529999997</x:v>
      </x:c>
      <x:c r="F18" s="40" t="n">
        <x:f>F15*F17</x:f>
        <x:v>12780.793952783997</x:v>
      </x:c>
      <x:c r="G18" s="40" t="n">
        <x:f>G15*G17</x:f>
        <x:v>13338.3560889742</x:v>
      </x:c>
      <x:c r="H18" s="40" t="n">
        <x:f>H15*H17</x:f>
        <x:v>13848.41482581657</x:v>
      </x:c>
      <x:c r="I18" s="40" t="n">
        <x:f>I15*I17</x:f>
        <x:v>14373.393394275965</x:v>
      </x:c>
      <x:c r="J18" s="40" t="n">
        <x:f>J15*J17</x:f>
        <x:v>14913.681687022907</x:v>
      </x:c>
    </x:row>
    <x:row r="19">
      <x:c r="A19" t="str">
        <x:v>Non-fuel CASM ex D&amp;A</x:v>
      </x:c>
      <x:c r="B19" s="24" t="n">
        <x:f>'UAL Inputs'!B27</x:f>
        <x:v>0.10913103470535548</x:v>
      </x:c>
      <x:c r="C19" s="24" t="n">
        <x:f>'UAL Inputs'!C27</x:f>
        <x:v>0.11733651869166899</x:v>
      </x:c>
      <x:c r="D19" s="24" t="n">
        <x:f>'UAL Inputs'!D27</x:f>
        <x:v>0.11980975946784067</x:v>
      </x:c>
      <x:c r="E19" s="50" t="n">
        <x:f>D19*(1+'UAL Inputs'!B55)</x:f>
        <x:v>0.12040880826517986</x:v>
      </x:c>
      <x:c r="F19" s="50" t="n">
        <x:f>E19*(1+'UAL Inputs'!C55)</x:f>
        <x:v>0.12101085230650574</x:v>
      </x:c>
      <x:c r="G19" s="50" t="n">
        <x:f>F19*(1+'UAL Inputs'!D55)</x:f>
        <x:v>0.12161590656803825</x:v>
      </x:c>
      <x:c r="H19" s="50" t="n">
        <x:f>G19*(1+'UAL Inputs'!E55)</x:f>
        <x:v>0.12222398610087842</x:v>
      </x:c>
      <x:c r="I19" s="50" t="n">
        <x:f>H19*(1+'UAL Inputs'!F55)</x:f>
        <x:v>0.1228351060313828</x:v>
      </x:c>
      <x:c r="J19" s="50" t="n">
        <x:f>I19*(1+'UAL Inputs'!G55)</x:f>
        <x:v>0.1234492815615397</x:v>
      </x:c>
    </x:row>
    <x:row r="20">
      <x:c r="A20" t="str">
        <x:v>Non-fuel opex ex D&amp;A</x:v>
      </x:c>
      <x:c r="B20" s="39" t="n">
        <x:f>'UAL Inputs'!B26</x:f>
        <x:v>27049</x:v>
      </x:c>
      <x:c r="C20" s="39" t="n">
        <x:f>'UAL Inputs'!C26</x:f>
        <x:v>34184</x:v>
      </x:c>
      <x:c r="D20" s="39" t="n">
        <x:f>'UAL Inputs'!D26</x:f>
        <x:v>37283</x:v>
      </x:c>
      <x:c r="E20" s="40" t="n">
        <x:f>E6*E19</x:f>
        <x:v>39155.53867499999</x:v>
      </x:c>
      <x:c r="F20" s="40" t="n">
        <x:f>F6*F19</x:f>
        <x:v>40925.36902310998</x:v>
      </x:c>
      <x:c r="G20" s="40" t="n">
        <x:f>G6*G19</x:f>
        <x:v>42569.54572361342</x:v>
      </x:c>
      <x:c r="H20" s="40" t="n">
        <x:f>H6*H19</x:f>
        <x:v>44065.86525579842</x:v>
      </x:c>
      <x:c r="I20" s="40" t="n">
        <x:f>I6*I19</x:f>
        <x:v>45614.780419539726</x:v>
      </x:c>
      <x:c r="J20" s="40" t="n">
        <x:f>J6*J19</x:f>
        <x:v>47218.13995128655</x:v>
      </x:c>
    </x:row>
    <x:row r="21">
      <x:c r="A21" t="str">
        <x:v>D&amp;A CASM</x:v>
      </x:c>
      <x:c r="B21" s="24" t="n">
        <x:f>'UAL Inputs'!B28</x:f>
        <x:v>0.009908899450491815</x:v>
      </x:c>
      <x:c r="C21" s="24" t="n">
        <x:f>'UAL Inputs'!C28</x:f>
        <x:v>0.009168202709614085</x:v>
      </x:c>
      <x:c r="D21" s="24" t="n">
        <x:f>'UAL Inputs'!D28</x:f>
        <x:v>0.0094091938878802</x:v>
      </x:c>
      <x:c r="E21" s="50" t="n">
        <x:f>D21*(1+'UAL Inputs'!B56)</x:f>
        <x:v>0.009503285826759002</x:v>
      </x:c>
      <x:c r="F21" s="50" t="n">
        <x:f>E21*(1+'UAL Inputs'!C56)</x:f>
        <x:v>0.009598318685026593</x:v>
      </x:c>
      <x:c r="G21" s="50" t="n">
        <x:f>F21*(1+'UAL Inputs'!D56)</x:f>
        <x:v>0.009694301871876858</x:v>
      </x:c>
      <x:c r="H21" s="50" t="n">
        <x:f>G21*(1+'UAL Inputs'!E56)</x:f>
        <x:v>0.009791244890595626</x:v>
      </x:c>
      <x:c r="I21" s="50" t="n">
        <x:f>H21*(1+'UAL Inputs'!F56)</x:f>
        <x:v>0.009889157339501582</x:v>
      </x:c>
      <x:c r="J21" s="50" t="n">
        <x:f>I21*(1+'UAL Inputs'!G56)</x:f>
        <x:v>0.009988048912896598</x:v>
      </x:c>
    </x:row>
    <x:row r="22">
      <x:c r="A22" t="str">
        <x:v>Depreciation &amp; amortization</x:v>
      </x:c>
      <x:c r="B22" s="39" t="n">
        <x:f>'UAL Inputs'!B11</x:f>
        <x:v>2456</x:v>
      </x:c>
      <x:c r="C22" s="39" t="n">
        <x:f>'UAL Inputs'!C11</x:f>
        <x:v>2671</x:v>
      </x:c>
      <x:c r="D22" s="39" t="n">
        <x:f>'UAL Inputs'!D11</x:f>
        <x:v>2928</x:v>
      </x:c>
      <x:c r="E22" s="40" t="n">
        <x:f>E6*E21</x:f>
        <x:v>3090.3575999999994</x:v>
      </x:c>
      <x:c r="F22" s="40" t="n">
        <x:f>F6*F21</x:f>
        <x:v>3246.11162304</x:v>
      </x:c>
      <x:c r="G22" s="40" t="n">
        <x:f>G6*G21</x:f>
        <x:v>3393.3227851448632</x:v>
      </x:c>
      <x:c r="H22" s="40" t="n">
        <x:f>H6*H21</x:f>
        <x:v>3530.073693386201</x:v>
      </x:c>
      <x:c r="I22" s="40" t="n">
        <x:f>I6*I21</x:f>
        <x:v>3672.335663229665</x:v>
      </x:c>
      <x:c r="J22" s="40" t="n">
        <x:f>J6*J21</x:f>
        <x:v>3820.330790457821</x:v>
      </x:c>
    </x:row>
    <x:row r="23">
      <x:c r="A23" t="str">
        <x:v>Total operating expense</x:v>
      </x:c>
      <x:c r="B23" s="39" t="n">
        <x:f>'UAL Inputs'!B12</x:f>
        <x:v>42618</x:v>
      </x:c>
      <x:c r="C23" s="39" t="n">
        <x:f>'UAL Inputs'!C12</x:f>
        <x:v>49506</x:v>
      </x:c>
      <x:c r="D23" s="39" t="n">
        <x:f>'UAL Inputs'!D12</x:f>
        <x:v>51967</x:v>
      </x:c>
      <x:c r="E23" s="40" t="n">
        <x:f>E18+E20+E22</x:f>
        <x:v>54429.37780499998</x:v>
      </x:c>
      <x:c r="F23" s="40" t="n">
        <x:f>F18+F20+F22</x:f>
        <x:v>56952.27459893398</x:v>
      </x:c>
      <x:c r="G23" s="40" t="n">
        <x:f>G18+G20+G22</x:f>
        <x:v>59301.22459773248</x:v>
      </x:c>
      <x:c r="H23" s="40" t="n">
        <x:f>H18+H20+H22</x:f>
        <x:v>61444.35377500118</x:v>
      </x:c>
      <x:c r="I23" s="40" t="n">
        <x:f>I18+I20+I22</x:f>
        <x:v>63660.50947704536</x:v>
      </x:c>
      <x:c r="J23" s="40" t="n">
        <x:f>J18+J20+J22</x:f>
        <x:v>65952.15242876728</x:v>
      </x:c>
    </x:row>
    <x:row r="24">
      <x:c r="A24" s="25" t="str">
        <x:v>Operating income (EBIT)</x:v>
      </x:c>
      <x:c r="B24" s="39" t="n">
        <x:f>'UAL Inputs'!B13</x:f>
        <x:v>2337</x:v>
      </x:c>
      <x:c r="C24" s="39" t="n">
        <x:f>'UAL Inputs'!C13</x:f>
        <x:v>4211</x:v>
      </x:c>
      <x:c r="D24" s="39" t="n">
        <x:f>'UAL Inputs'!D13</x:f>
        <x:v>5096</x:v>
      </x:c>
      <x:c r="E24" s="40" t="n">
        <x:f>E12-E23</x:f>
        <x:v>5855.403974432011</x:v>
      </x:c>
      <x:c r="F24" s="40" t="n">
        <x:f>F12-F23</x:f>
        <x:v>6410.354617927915</x:v>
      </x:c>
      <x:c r="G24" s="40" t="n">
        <x:f>G12-G23</x:f>
        <x:v>6976.482899719747</x:v>
      </x:c>
      <x:c r="H24" s="40" t="n">
        <x:f>H12-H23</x:f>
        <x:v>7577.7756646053385</x:v>
      </x:c>
      <x:c r="I24" s="40" t="n">
        <x:f>I12-I23</x:f>
        <x:v>8188.543709676975</x:v>
      </x:c>
      <x:c r="J24" s="40" t="n">
        <x:f>J12-J23</x:f>
        <x:v>8839.750893737306</x:v>
      </x:c>
    </x:row>
    <x:row r="25">
      <x:c r="A25" s="25" t="str">
        <x:v>EBIT margin</x:v>
      </x:c>
      <x:c r="B25" s="44" t="n">
        <x:f>B24/B12</x:f>
        <x:v>0.051985318651985316</x:v>
      </x:c>
      <x:c r="C25" s="44" t="n">
        <x:f>C24/C12</x:f>
        <x:v>0.07839231528194054</x:v>
      </x:c>
      <x:c r="D25" s="44" t="n">
        <x:f>D24/D12</x:f>
        <x:v>0.08930480346283932</x:v>
      </x:c>
      <x:c r="E25" s="45" t="n">
        <x:f>E24/E12</x:f>
        <x:v>0.0971290564815441</x:v>
      </x:c>
      <x:c r="F25" s="45" t="n">
        <x:f>F24/F12</x:f>
        <x:v>0.10116932799597286</x:v>
      </x:c>
      <x:c r="G25" s="45" t="n">
        <x:f>G24/G12</x:f>
        <x:v>0.10526137917470862</x:v>
      </x:c>
      <x:c r="H25" s="45" t="n">
        <x:f>H24/H12</x:f>
        <x:v>0.10978762501431943</x:v>
      </x:c>
      <x:c r="I25" s="45" t="n">
        <x:f>I24/I12</x:f>
        <x:v>0.1139687072618267</x:v>
      </x:c>
      <x:c r="J25" s="45" t="n">
        <x:f>J24/J12</x:f>
        <x:v>0.11819128142280423</x:v>
      </x:c>
    </x:row>
    <x:row r="26">
      <x:c r="A26" t="str">
        <x:v>Tax rate</x:v>
      </x:c>
      <x:c r="B26" s="44" t="n">
        <x:f>'UAL Inputs'!B15/'UAL Inputs'!B14</x:f>
        <x:v>0.25555555555555554</x:v>
      </x:c>
      <x:c r="C26" s="44" t="n">
        <x:f>'UAL Inputs'!C15/'UAL Inputs'!C14</x:f>
        <x:v>0.22704458222615884</x:v>
      </x:c>
      <x:c r="D26" s="44" t="n">
        <x:f>'UAL Inputs'!D15/'UAL Inputs'!D14</x:f>
        <x:v>0.24448176583493283</x:v>
      </x:c>
      <x:c r="E26" s="45" t="n">
        <x:f>'UAL Inputs'!B59</x:f>
        <x:v>0.245</x:v>
      </x:c>
      <x:c r="F26" s="45" t="n">
        <x:f>'UAL Inputs'!C59</x:f>
        <x:v>0.245</x:v>
      </x:c>
      <x:c r="G26" s="45" t="n">
        <x:f>'UAL Inputs'!D59</x:f>
        <x:v>0.245</x:v>
      </x:c>
      <x:c r="H26" s="45" t="n">
        <x:f>'UAL Inputs'!E59</x:f>
        <x:v>0.245</x:v>
      </x:c>
      <x:c r="I26" s="45" t="n">
        <x:f>'UAL Inputs'!F59</x:f>
        <x:v>0.245</x:v>
      </x:c>
      <x:c r="J26" s="45" t="n">
        <x:f>'UAL Inputs'!G59</x:f>
        <x:v>0.245</x:v>
      </x:c>
    </x:row>
    <x:row r="27">
      <x:c r="A27" t="str">
        <x:v>NOPAT</x:v>
      </x:c>
      <x:c r="B27" s="39" t="n">
        <x:f>B24*(1-B26)</x:f>
        <x:v>1739.7666666666667</x:v>
      </x:c>
      <x:c r="C27" s="39" t="n">
        <x:f>C24*(1-C26)</x:f>
        <x:v>3254.915264245645</x:v>
      </x:c>
      <x:c r="D27" s="39" t="n">
        <x:f>D24*(1-D26)</x:f>
        <x:v>3850.120921305182</x:v>
      </x:c>
      <x:c r="E27" s="40" t="n">
        <x:f>E24*(1-E26)</x:f>
        <x:v>4420.830000696168</x:v>
      </x:c>
      <x:c r="F27" s="40" t="n">
        <x:f>F24*(1-F26)</x:f>
        <x:v>4839.817736535576</x:v>
      </x:c>
      <x:c r="G27" s="40" t="n">
        <x:f>G24*(1-G26)</x:f>
        <x:v>5267.244589288409</x:v>
      </x:c>
      <x:c r="H27" s="40" t="n">
        <x:f>H24*(1-H26)</x:f>
        <x:v>5721.220626777031</x:v>
      </x:c>
      <x:c r="I27" s="40" t="n">
        <x:f>I24*(1-I26)</x:f>
        <x:v>6182.350500806116</x:v>
      </x:c>
      <x:c r="J27" s="40" t="n">
        <x:f>J24*(1-J26)</x:f>
        <x:v>6674.011924771666</x:v>
      </x:c>
    </x:row>
    <x:row r="28">
      <x:c r="A28" t="str">
        <x:v>Capex as % of revenue</x:v>
      </x:c>
      <x:c r="B28" s="44" t="n">
        <x:f>'UAL Inputs'!B24/'UAL Inputs'!B9</x:f>
        <x:v>0.10719608497386275</x:v>
      </x:c>
      <x:c r="C28" s="44" t="n">
        <x:f>'UAL Inputs'!C24/'UAL Inputs'!C9</x:f>
        <x:v>0.1334959137703148</x:v>
      </x:c>
      <x:c r="D28" s="44" t="n">
        <x:f>'UAL Inputs'!D24/'UAL Inputs'!D9</x:f>
        <x:v>0.09840001401959238</x:v>
      </x:c>
      <x:c r="E28" s="45" t="n">
        <x:f>'UAL Inputs'!B57</x:f>
        <x:v>0.11</x:v>
      </x:c>
      <x:c r="F28" s="45" t="n">
        <x:f>'UAL Inputs'!C57</x:f>
        <x:v>0.105</x:v>
      </x:c>
      <x:c r="G28" s="45" t="n">
        <x:f>'UAL Inputs'!D57</x:f>
        <x:v>0.1</x:v>
      </x:c>
      <x:c r="H28" s="45" t="n">
        <x:f>'UAL Inputs'!E57</x:f>
        <x:v>0.095</x:v>
      </x:c>
      <x:c r="I28" s="45" t="n">
        <x:f>'UAL Inputs'!F57</x:f>
        <x:v>0.091</x:v>
      </x:c>
      <x:c r="J28" s="45" t="n">
        <x:f>'UAL Inputs'!G57</x:f>
        <x:v>0.0885</x:v>
      </x:c>
    </x:row>
    <x:row r="29">
      <x:c r="A29" t="str">
        <x:v>Capital expenditures</x:v>
      </x:c>
      <x:c r="B29" s="39" t="n">
        <x:f>'UAL Inputs'!B24</x:f>
        <x:v>4819</x:v>
      </x:c>
      <x:c r="C29" s="39" t="n">
        <x:f>'UAL Inputs'!C24</x:f>
        <x:v>7171</x:v>
      </x:c>
      <x:c r="D29" s="39" t="n">
        <x:f>'UAL Inputs'!D24</x:f>
        <x:v>5615</x:v>
      </x:c>
      <x:c r="E29" s="40" t="n">
        <x:f>E12*E28</x:f>
        <x:v>6631.325995737519</x:v>
      </x:c>
      <x:c r="F29" s="40" t="n">
        <x:f>F12*F28</x:f>
        <x:v>6653.076067770499</x:v>
      </x:c>
      <x:c r="G29" s="40" t="n">
        <x:f>G12*G28</x:f>
        <x:v>6627.770749745223</x:v>
      </x:c>
      <x:c r="H29" s="40" t="n">
        <x:f>H12*H28</x:f>
        <x:v>6557.1022967626195</x:v>
      </x:c>
      <x:c r="I29" s="40" t="n">
        <x:f>I12*I28</x:f>
        <x:v>6538.263839991732</x:v>
      </x:c>
      <x:c r="J29" s="40" t="n">
        <x:f>J12*J28</x:f>
        <x:v>6619.083444041656</x:v>
      </x:c>
    </x:row>
    <x:row r="30">
      <x:c r="A30" t="str">
        <x:v>ΔNWC as % of revenue</x:v>
      </x:c>
      <x:c r="B30" s="44" t="n">
        <x:f>'UAL Inputs'!B25/'UAL Inputs'!B9</x:f>
        <x:v>-0.050161272383494604</x:v>
      </x:c>
      <x:c r="C30" s="44" t="n">
        <x:f>'UAL Inputs'!C25/'UAL Inputs'!C9</x:f>
        <x:v>-0.012361077498743414</x:v>
      </x:c>
      <x:c r="D30" s="44" t="n">
        <x:f>'UAL Inputs'!D25/'UAL Inputs'!D9</x:f>
        <x:v>-0.03331405639381035</x:v>
      </x:c>
      <x:c r="E30" s="45" t="n">
        <x:f>'UAL Inputs'!B58</x:f>
        <x:v>-0.004</x:v>
      </x:c>
      <x:c r="F30" s="45" t="n">
        <x:f>'UAL Inputs'!C58</x:f>
        <x:v>-0.003</x:v>
      </x:c>
      <x:c r="G30" s="45" t="n">
        <x:f>'UAL Inputs'!D58</x:f>
        <x:v>-0.002</x:v>
      </x:c>
      <x:c r="H30" s="45" t="n">
        <x:f>'UAL Inputs'!E58</x:f>
        <x:v>-0.001</x:v>
      </x:c>
      <x:c r="I30" s="45" t="n">
        <x:f>'UAL Inputs'!F58</x:f>
        <x:v>0</x:v>
      </x:c>
      <x:c r="J30" s="45" t="n">
        <x:f>'UAL Inputs'!G58</x:f>
        <x:v>0</x:v>
      </x:c>
    </x:row>
    <x:row r="31">
      <x:c r="A31" t="str">
        <x:v>ΔNWC increase/(use)</x:v>
      </x:c>
      <x:c r="B31" s="39" t="n">
        <x:f>'UAL Inputs'!B25</x:f>
        <x:v>-2255</x:v>
      </x:c>
      <x:c r="C31" s="39" t="n">
        <x:f>'UAL Inputs'!C25</x:f>
        <x:v>-664</x:v>
      </x:c>
      <x:c r="D31" s="39" t="n">
        <x:f>'UAL Inputs'!D25</x:f>
        <x:v>-1901</x:v>
      </x:c>
      <x:c r="E31" s="40" t="n">
        <x:f>E12*E30</x:f>
        <x:v>-241.13912711772798</x:v>
      </x:c>
      <x:c r="F31" s="40" t="n">
        <x:f>F12*F30</x:f>
        <x:v>-190.08788765058569</x:v>
      </x:c>
      <x:c r="G31" s="40" t="n">
        <x:f>G12*G30</x:f>
        <x:v>-132.55541499490445</x:v>
      </x:c>
      <x:c r="H31" s="40" t="n">
        <x:f>H12*H30</x:f>
        <x:v>-69.02212943960652</x:v>
      </x:c>
      <x:c r="I31" s="40" t="n">
        <x:f>I12*I30</x:f>
        <x:v>0</x:v>
      </x:c>
      <x:c r="J31" s="40" t="n">
        <x:f>J12*J30</x:f>
        <x:v>0</x:v>
      </x:c>
    </x:row>
    <x:row r="32">
      <x:c r="A32" s="25" t="str">
        <x:v>Unlevered free cash flow</x:v>
      </x:c>
      <x:c r="B32" s="39" t="n">
        <x:f>B27+B22-B29-B31</x:f>
        <x:v>1631.7666666666664</x:v>
      </x:c>
      <x:c r="C32" s="39" t="n">
        <x:f>C27+C22-C29-C31</x:f>
        <x:v>-581.0847357543553</x:v>
      </x:c>
      <x:c r="D32" s="39" t="n">
        <x:f>D27+D22-D29-D31</x:f>
        <x:v>3064.1209213051825</x:v>
      </x:c>
      <x:c r="E32" s="40" t="n">
        <x:f>E27+E22-E29-E31</x:f>
        <x:v>1121.0007320763762</x:v>
      </x:c>
      <x:c r="F32" s="40" t="n">
        <x:f>F27+F22-F29-F31</x:f>
        <x:v>1622.9411794556618</x:v>
      </x:c>
      <x:c r="G32" s="40" t="n">
        <x:f>G27+G22-G29-G31</x:f>
        <x:v>2165.352039682954</x:v>
      </x:c>
      <x:c r="H32" s="40" t="n">
        <x:f>H27+H22-H29-H31</x:f>
        <x:v>2763.2141528402185</x:v>
      </x:c>
      <x:c r="I32" s="40" t="n">
        <x:f>I27+I22-I29-I31</x:f>
        <x:v>3316.422324044048</x:v>
      </x:c>
      <x:c r="J32" s="40" t="n">
        <x:f>J27+J22-J29-J31</x:f>
        <x:v>3875.2592711878306</x:v>
      </x:c>
    </x:row>
    <x:row r="33">
      <x:c r="A33" s="25" t="str">
        <x:v>Discount factor</x:v>
      </x:c>
      <x:c r="E33" s="51" t="n">
        <x:f>(1+'UAL Inputs'!B60)^1</x:f>
        <x:v>1.09</x:v>
      </x:c>
      <x:c r="F33" s="51" t="n">
        <x:f>(1+'UAL Inputs'!C60)^2</x:f>
        <x:v>1.1881000000000002</x:v>
      </x:c>
      <x:c r="G33" s="51" t="n">
        <x:f>(1+'UAL Inputs'!D60)^3</x:f>
        <x:v>1.2950290000000002</x:v>
      </x:c>
      <x:c r="H33" s="51" t="n">
        <x:f>(1+'UAL Inputs'!E60)^4</x:f>
        <x:v>1.4115816100000005</x:v>
      </x:c>
      <x:c r="I33" s="51" t="n">
        <x:f>(1+'UAL Inputs'!F60)^5</x:f>
        <x:v>1.5386239549000005</x:v>
      </x:c>
      <x:c r="J33" s="51" t="n">
        <x:f>(1+'UAL Inputs'!G60)^6</x:f>
        <x:v>1.6771001108410006</x:v>
      </x:c>
    </x:row>
    <x:row r="34">
      <x:c r="A34" s="25" t="str">
        <x:v>PV of UFCF</x:v>
      </x:c>
      <x:c r="B34" s="52"/>
      <x:c r="C34" s="52"/>
      <x:c r="D34" s="52"/>
      <x:c r="E34" s="52" t="n">
        <x:f>E32/E33</x:f>
        <x:v>1028.4410386021798</x:v>
      </x:c>
      <x:c r="F34" s="52" t="n">
        <x:f>F32/F33</x:f>
        <x:v>1365.9971209962644</x:v>
      </x:c>
      <x:c r="G34" s="52" t="n">
        <x:f>G32/G33</x:f>
        <x:v>1672.0490735597068</x:v>
      </x:c>
      <x:c r="H34" s="52" t="n">
        <x:f>H32/H33</x:f>
        <x:v>1957.5305694441695</x:v>
      </x:c>
      <x:c r="I34" s="52" t="n">
        <x:f>I32/I33</x:f>
        <x:v>2155.446958616728</x:v>
      </x:c>
      <x:c r="J34" s="52" t="n">
        <x:f>J32/J33</x:f>
        <x:v>2310.690486595066</x:v>
      </x:c>
    </x:row>
    <x:row r="36">
      <x:c r="A36" s="8" t="str">
        <x:v>Valuation Summary</x:v>
      </x:c>
      <x:c r="B36" s="8"/>
      <x:c r="C36" s="8"/>
      <x:c r="D36" s="8"/>
      <x:c r="E36" s="8"/>
      <x:c r="F36" s="8"/>
      <x:c r="G36" s="8"/>
      <x:c r="H36" s="8"/>
      <x:c r="I36" s="8"/>
      <x:c r="J36" s="8"/>
    </x:row>
    <x:row r="37">
      <x:c r="A37" s="25" t="str">
        <x:v>PV of forecast UFCF</x:v>
      </x:c>
      <x:c r="B37" s="52" t="n">
        <x:f>SUM(E34:J34)</x:f>
        <x:v>10490.155247814115</x:v>
      </x:c>
    </x:row>
    <x:row r="38">
      <x:c r="A38" s="25" t="str">
        <x:v>Normalized terminal UFCF</x:v>
      </x:c>
      <x:c r="B38" s="52" t="n">
        <x:f>J27*(1-'UAL Inputs'!G61/'UAL Inputs'!G62)*(1+'UAL Inputs'!G61)</x:f>
        <x:v>5130.646667168217</x:v>
      </x:c>
    </x:row>
    <x:row r="39">
      <x:c r="A39" s="25" t="str">
        <x:v>Terminal value</x:v>
      </x:c>
      <x:c r="B39" s="52" t="n">
        <x:f>B38/('UAL Inputs'!G60-'UAL Inputs'!G61)</x:f>
        <x:v>78933.02564874181</x:v>
      </x:c>
    </x:row>
    <x:row r="40">
      <x:c r="A40" s="25" t="str">
        <x:v>PV of terminal value</x:v>
      </x:c>
      <x:c r="B40" s="52" t="n">
        <x:f>B39/J33</x:f>
        <x:v>47065.18420606386</x:v>
      </x:c>
    </x:row>
    <x:row r="41">
      <x:c r="A41" s="57" t="str">
        <x:v>Enterprise value</x:v>
      </x:c>
      <x:c r="B41" s="58" t="n">
        <x:f>B37+B40</x:f>
        <x:v>57555.339453877976</x:v>
      </x:c>
    </x:row>
    <x:row r="42">
      <x:c r="A42" s="25" t="str"/>
      <x:c r="B42" s="52"/>
    </x:row>
    <x:row r="43">
      <x:c r="A43" s="25" t="str">
        <x:v>Adjusted net debt (leases + pension)</x:v>
      </x:c>
      <x:c r="B43" s="52" t="n">
        <x:f>'UAL Inputs'!B42</x:f>
        <x:v>18369</x:v>
      </x:c>
    </x:row>
    <x:row r="44">
      <x:c r="A44" s="25" t="str">
        <x:v>Equity value</x:v>
      </x:c>
      <x:c r="B44" s="52" t="n">
        <x:f>B41-B43</x:f>
        <x:v>39186.339453877976</x:v>
      </x:c>
    </x:row>
    <x:row r="45">
      <x:c r="A45" s="25" t="str">
        <x:v>Shares outstanding</x:v>
      </x:c>
      <x:c r="B45" s="53" t="n">
        <x:f>'UAL Inputs'!B39</x:f>
        <x:v>323.732094</x:v>
      </x:c>
    </x:row>
    <x:row r="46">
      <x:c r="A46" s="62" t="str">
        <x:v>Implied value per share</x:v>
      </x:c>
      <x:c r="B46" s="63" t="n">
        <x:f>B44/B45</x:f>
        <x:v>121.04558114611267</x:v>
      </x:c>
    </x:row>
    <x:row r="47">
      <x:c r="A47" s="62" t="str">
        <x:v>Market price (Aug. 29, 2025)</x:v>
      </x:c>
      <x:c r="B47" s="63" t="n">
        <x:f>'UAL Inputs'!B40</x:f>
        <x:v>105</x:v>
      </x:c>
    </x:row>
    <x:row r="48">
      <x:c r="A48" s="62" t="str">
        <x:v>Upside / (downside)</x:v>
      </x:c>
      <x:c r="B48" s="64" t="n">
        <x:f>B46/B47-1</x:f>
        <x:v>0.15281505853440636</x:v>
      </x:c>
    </x:row>
    <x:row r="49">
      <x:c r="A49" s="62" t="str">
        <x:v>Recommendation (±20% bands)</x:v>
      </x:c>
      <x:c r="B49" s="62" t="str">
        <x:f>IF(B48&gt;=0.2,"BUY",IF(B48&lt;=-0.2,"SELL","HOLD"))</x:f>
        <x:v>HOLD</x:v>
      </x:c>
    </x:row>
    <x:row r="50">
      <x:c r="A50" s="25" t="str">
        <x:v>Market capitalization</x:v>
      </x:c>
      <x:c r="B50" s="52" t="n">
        <x:f>'UAL Inputs'!B43</x:f>
        <x:v>33991.86987</x:v>
      </x:c>
    </x:row>
    <x:row r="51">
      <x:c r="A51" s="25" t="str">
        <x:v>Market enterprise value</x:v>
      </x:c>
      <x:c r="B51" s="52" t="n">
        <x:f>'UAL Inputs'!B44</x:f>
        <x:v>52360.86987</x:v>
      </x:c>
    </x:row>
    <x:row r="52">
      <x:c r="A52" s="25" t="str">
        <x:v>DCF EV premium to market EV</x:v>
      </x:c>
      <x:c r="B52" s="45" t="n">
        <x:f>B41/B51-1</x:f>
        <x:v>0.09920518121212751</x:v>
      </x:c>
    </x:row>
  </x:sheetData>
  <x:mergeCells>
    <x:mergeCell ref="A1:J1"/>
    <x:mergeCell ref="A2:J2"/>
    <x:mergeCell ref="A36:J36"/>
  </x:mergeCells>
  <x:pageMargins left="0.7" right="0.7" top="0.75" bottom="0.75" header="0.3" footer="0.3"/>
  <x:legacyDrawing xmlns:r="http://schemas.openxmlformats.org/officeDocument/2006/relationships" r:id="R7fea9489a62d4834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5" hidden="0" customWidth="1"/>
  </x:cols>
  <x:sheetData>
    <x:row r="1" ht="28" customHeight="1">
      <x:c r="A1" s="3" t="str">
        <x:v>United Airlines — Operating Scenario Analysis (Bear / Base / Bull)</x:v>
      </x:c>
      <x:c r="B1" s="3"/>
      <x:c r="C1" s="3"/>
      <x:c r="D1" s="3"/>
      <x:c r="E1" s="3"/>
      <x:c r="F1" s="3"/>
      <x:c r="G1" s="3"/>
      <x:c r="H1" s="3"/>
    </x:row>
    <x:row r="2">
      <x:c r="A2" s="6" t="str">
        <x:v>Load factor and fuel price vary by scenario; WACC, terminal growth, and terminal ROIC remain fixed at the base case. See UAL Sensitivity for the separate WACC/TGR grid.</x:v>
      </x:c>
      <x:c r="B2" s="6"/>
      <x:c r="C2" s="6"/>
      <x:c r="D2" s="6"/>
      <x:c r="E2" s="6"/>
      <x:c r="F2" s="6"/>
      <x:c r="G2" s="6"/>
      <x:c r="H2" s="6"/>
    </x:row>
    <x:row r="4">
      <x:c r="A4" s="14" t="str">
        <x:v>Scenario</x:v>
      </x:c>
      <x:c r="B4" s="14" t="str">
        <x:v>WACC</x:v>
      </x:c>
      <x:c r="C4" s="14" t="str">
        <x:v>TGR</x:v>
      </x:c>
      <x:c r="D4" s="14" t="str">
        <x:v>Enterprise value</x:v>
      </x:c>
      <x:c r="E4" s="14" t="str">
        <x:v>Equity value</x:v>
      </x:c>
      <x:c r="F4" s="14" t="str">
        <x:v>Implied price</x:v>
      </x:c>
      <x:c r="G4" s="14" t="str">
        <x:v>Upside vs. market</x:v>
      </x:c>
      <x:c r="H4" s="14" t="str">
        <x:v>View</x:v>
      </x:c>
      <x:c r="I4" s="130" t="str">
        <x:v>Terminal ROIC</x:v>
      </x:c>
    </x:row>
    <x:row r="5">
      <x:c r="A5" t="str">
        <x:v>Bear</x:v>
      </x:c>
      <x:c r="B5" s="192" t="n">
        <x:f>'UAL Inputs'!$B$60</x:f>
        <x:v>0.09</x:v>
      </x:c>
      <x:c r="C5" s="192" t="n">
        <x:f>'UAL Inputs'!$B$61</x:f>
        <x:v>0.025</x:v>
      </x:c>
      <x:c r="D5" s="52" t="n">
        <x:f>G37</x:f>
        <x:v>47736.42638685172</x:v>
      </x:c>
      <x:c r="E5" s="52" t="n">
        <x:f>G39</x:f>
        <x:v>29367.426386851723</x:v>
      </x:c>
      <x:c r="F5" s="54" t="n">
        <x:f>G41</x:f>
        <x:v>90.71521462080223</x:v>
      </x:c>
      <x:c r="G5" s="45" t="n">
        <x:f>G42</x:f>
        <x:v>-0.13604557503997883</x:v>
      </x:c>
      <x:c r="H5" t="str">
        <x:f>IF(G5&gt;=0.2,"BUY",IF(G5&lt;=-0.2,"SELL","HOLD"))</x:f>
        <x:v>HOLD</x:v>
      </x:c>
      <x:c r="I5" s="194" t="n">
        <x:f>'UAL Inputs'!$B$62</x:f>
        <x:v>0.1</x:v>
      </x:c>
    </x:row>
    <x:row r="6">
      <x:c r="A6" s="59" t="str">
        <x:v>Base</x:v>
      </x:c>
      <x:c r="B6" s="193" t="n">
        <x:f>'UAL Inputs'!$B$60</x:f>
        <x:v>0.09</x:v>
      </x:c>
      <x:c r="C6" s="193" t="n">
        <x:f>'UAL Inputs'!$B$61</x:f>
        <x:v>0.025</x:v>
      </x:c>
      <x:c r="D6" s="70" t="n">
        <x:f>G71</x:f>
        <x:v>57555.33945387799</x:v>
      </x:c>
      <x:c r="E6" s="70" t="n">
        <x:f>G73</x:f>
        <x:v>39186.33945387799</x:v>
      </x:c>
      <x:c r="F6" s="60" t="n">
        <x:f>G75</x:f>
        <x:v>121.04558114611271</x:v>
      </x:c>
      <x:c r="G6" s="61" t="n">
        <x:f>G76</x:f>
        <x:v>0.1528150585344068</x:v>
      </x:c>
      <x:c r="H6" s="59" t="str">
        <x:f>IF(G6&gt;=0.2,"BUY",IF(G6&lt;=-0.2,"SELL","HOLD"))</x:f>
        <x:v>HOLD</x:v>
      </x:c>
      <x:c r="I6" s="194" t="n">
        <x:f>'UAL Inputs'!$B$62</x:f>
        <x:v>0.1</x:v>
      </x:c>
    </x:row>
    <x:row r="7">
      <x:c r="A7" t="str">
        <x:v>Bull</x:v>
      </x:c>
      <x:c r="B7" s="192" t="n">
        <x:f>'UAL Inputs'!$B$60</x:f>
        <x:v>0.09</x:v>
      </x:c>
      <x:c r="C7" s="192" t="n">
        <x:f>'UAL Inputs'!$B$61</x:f>
        <x:v>0.025</x:v>
      </x:c>
      <x:c r="D7" s="52" t="n">
        <x:f>G105</x:f>
        <x:v>67374.25252090431</x:v>
      </x:c>
      <x:c r="E7" s="52" t="n">
        <x:f>G107</x:f>
        <x:v>49005.25252090431</x:v>
      </x:c>
      <x:c r="F7" s="54" t="n">
        <x:f>G109</x:f>
        <x:v>151.37594767142335</x:v>
      </x:c>
      <x:c r="G7" s="45" t="n">
        <x:f>G110</x:f>
        <x:v>0.44167569210879387</x:v>
      </x:c>
      <x:c r="H7" t="str">
        <x:f>IF(G7&gt;=0.2,"BUY",IF(G7&lt;=-0.2,"SELL","HOLD"))</x:f>
        <x:v>BUY</x:v>
      </x:c>
      <x:c r="I7" s="195" t="n">
        <x:f>'UAL Inputs'!$B$62</x:f>
        <x:v>0.1</x:v>
      </x:c>
    </x:row>
    <x:row r="9" ht="34" customHeight="1">
      <x:c r="A9" s="72" t="str">
        <x:v>Operating-case range: approximately $91–$151 per share with WACC fixed at 9.0%, terminal growth at 2.5%, and terminal ROIC at 10.0%. The bear case implies approximately 14% downside; the base case implies approximately 15% upside and remains HOLD under the ±20% rating bands.</x:v>
      </x:c>
      <x:c r="B9" s="72"/>
      <x:c r="C9" s="72"/>
      <x:c r="D9" s="72"/>
      <x:c r="E9" s="72"/>
      <x:c r="F9" s="72"/>
      <x:c r="G9" s="72"/>
      <x:c r="H9" s="72"/>
      <x:c r="I9" s="29"/>
    </x:row>
    <x:row r="11">
      <x:c r="A11" s="8" t="str">
        <x:v>Bear Case Mechanics</x:v>
      </x:c>
      <x:c r="B11" s="8"/>
      <x:c r="C11" s="8"/>
      <x:c r="D11" s="8"/>
      <x:c r="E11" s="8"/>
      <x:c r="F11" s="8"/>
      <x:c r="G11" s="8"/>
    </x:row>
    <x:row r="12">
      <x:c r="A12" s="14" t="str">
        <x:v>Metric</x:v>
      </x:c>
      <x:c r="B12" s="14" t="str">
        <x:v>2025E</x:v>
      </x:c>
      <x:c r="C12" s="14" t="str">
        <x:v>2026E</x:v>
      </x:c>
      <x:c r="D12" s="14" t="str">
        <x:v>2027E</x:v>
      </x:c>
      <x:c r="E12" s="14" t="str">
        <x:v>2028E</x:v>
      </x:c>
      <x:c r="F12" s="14" t="str">
        <x:v>2029E</x:v>
      </x:c>
      <x:c r="G12" s="14" t="str">
        <x:v>2030E</x:v>
      </x:c>
    </x:row>
    <x:row r="13">
      <x:c r="A13" t="str">
        <x:v>ASM</x:v>
      </x:c>
      <x:c r="B13" s="40" t="n">
        <x:f>'UAL DCF'!E6</x:f>
        <x:v>325188.32499999995</x:v>
      </x:c>
      <x:c r="C13" s="40" t="n">
        <x:f>'UAL DCF'!F6</x:f>
        <x:v>338195.85799999995</x:v>
      </x:c>
      <x:c r="D13" s="40" t="n">
        <x:f>'UAL DCF'!G6</x:f>
        <x:v>350032.7130299999</x:v>
      </x:c>
      <x:c r="E13" s="40" t="n">
        <x:f>'UAL DCF'!H6</x:f>
        <x:v>360533.6944208999</x:v>
      </x:c>
      <x:c r="F13" s="40" t="n">
        <x:f>'UAL DCF'!I6</x:f>
        <x:v>371349.7052535269</x:v>
      </x:c>
      <x:c r="G13" s="40" t="n">
        <x:f>'UAL DCF'!J6</x:f>
        <x:v>382490.19641113275</x:v>
      </x:c>
    </x:row>
    <x:row r="14">
      <x:c r="A14" t="str">
        <x:v>Load factor</x:v>
      </x:c>
      <x:c r="B14" s="17" t="n">
        <x:v>0.827</x:v>
      </x:c>
      <x:c r="C14" s="17" t="n">
        <x:v>0.828</x:v>
      </x:c>
      <x:c r="D14" s="17" t="n">
        <x:v>0.829</x:v>
      </x:c>
      <x:c r="E14" s="17" t="n">
        <x:v>0.83</x:v>
      </x:c>
      <x:c r="F14" s="17" t="n">
        <x:v>0.831</x:v>
      </x:c>
      <x:c r="G14" s="17" t="n">
        <x:v>0.832</x:v>
      </x:c>
    </x:row>
    <x:row r="15">
      <x:c r="A15" t="str">
        <x:v>Yield ($/RPM)</x:v>
      </x:c>
      <x:c r="B15" s="47" t="n">
        <x:f>'UAL DCF'!E9</x:f>
        <x:v>0.20250500000000002</x:v>
      </x:c>
      <x:c r="C15" s="47" t="n">
        <x:f>'UAL DCF'!F9</x:f>
        <x:v>0.20453005000000002</x:v>
      </x:c>
      <x:c r="D15" s="47" t="n">
        <x:f>'UAL DCF'!G9</x:f>
        <x:v>0.20657535050000003</x:v>
      </x:c>
      <x:c r="E15" s="47" t="n">
        <x:f>'UAL DCF'!H9</x:f>
        <x:v>0.20864110400500002</x:v>
      </x:c>
      <x:c r="F15" s="47" t="n">
        <x:f>'UAL DCF'!I9</x:f>
        <x:v>0.21072751504505002</x:v>
      </x:c>
      <x:c r="G15" s="47" t="n">
        <x:f>'UAL DCF'!J9</x:f>
        <x:v>0.21283479019550053</x:v>
      </x:c>
    </x:row>
    <x:row r="16">
      <x:c r="A16" t="str">
        <x:v>Passenger revenue</x:v>
      </x:c>
      <x:c r="B16" s="40" t="n">
        <x:f>B13*B14*B15</x:f>
        <x:v>54459.820470661376</x:v>
      </x:c>
      <x:c r="C16" s="40" t="n">
        <x:f>C13*C14*C15</x:f>
        <x:v>57273.76663812924</x:v>
      </x:c>
      <x:c r="D16" s="40" t="n">
        <x:f>D13*D14*D15</x:f>
        <x:v>59943.44008554904</x:v>
      </x:c>
      <x:c r="E16" s="40" t="n">
        <x:f>E13*E14*E15</x:f>
        <x:v>62434.38286903163</x:v>
      </x:c>
      <x:c r="F16" s="40" t="n">
        <x:f>F13*F14*F15</x:f>
        <x:v>65028.7420992544</x:v>
      </x:c>
      <x:c r="G16" s="40" t="n">
        <x:f>G13*G14*G15</x:f>
        <x:v>67730.80762655936</x:v>
      </x:c>
    </x:row>
    <x:row r="17">
      <x:c r="A17" t="str">
        <x:v>Cargo &amp; other revenue</x:v>
      </x:c>
      <x:c r="B17" s="40" t="n">
        <x:f>'UAL DCF'!E11</x:f>
        <x:v>5495.7</x:v>
      </x:c>
      <x:c r="C17" s="40" t="n">
        <x:f>'UAL DCF'!F11</x:f>
        <x:v>5743.0064999999995</x:v>
      </x:c>
      <x:c r="D17" s="40" t="n">
        <x:f>'UAL DCF'!G11</x:f>
        <x:v>5972.72676</x:v>
      </x:c>
      <x:c r="E17" s="40" t="n">
        <x:f>'UAL DCF'!H11</x:f>
        <x:v>6211.6358304</x:v>
      </x:c>
      <x:c r="F17" s="40" t="n">
        <x:f>'UAL DCF'!I11</x:f>
        <x:v>6429.043084463999</x:v>
      </x:c>
      <x:c r="G17" s="40" t="n">
        <x:f>'UAL DCF'!J11</x:f>
        <x:v>6654.059592420238</x:v>
      </x:c>
    </x:row>
    <x:row r="18">
      <x:c r="A18" t="str">
        <x:v>Total revenue</x:v>
      </x:c>
      <x:c r="B18" s="40" t="n">
        <x:f>B16+B17</x:f>
        <x:v>59955.52047066137</x:v>
      </x:c>
      <x:c r="C18" s="40" t="n">
        <x:f>C16+C17</x:f>
        <x:v>63016.77313812924</x:v>
      </x:c>
      <x:c r="D18" s="40" t="n">
        <x:f>D16+D17</x:f>
        <x:v>65916.16684554904</x:v>
      </x:c>
      <x:c r="E18" s="40" t="n">
        <x:f>E16+E17</x:f>
        <x:v>68646.01869943163</x:v>
      </x:c>
      <x:c r="F18" s="40" t="n">
        <x:f>F16+F17</x:f>
        <x:v>71457.7851837184</x:v>
      </x:c>
      <x:c r="G18" s="40" t="n">
        <x:f>G16+G17</x:f>
        <x:v>74384.86721897959</x:v>
      </x:c>
    </x:row>
    <x:row r="19">
      <x:c r="A19" t="str">
        <x:v>Fuel price ($/gal)</x:v>
      </x:c>
      <x:c r="B19" s="19" t="n">
        <x:v>2.8</x:v>
      </x:c>
      <x:c r="C19" s="19" t="n">
        <x:v>2.85</x:v>
      </x:c>
      <x:c r="D19" s="19" t="n">
        <x:v>2.9</x:v>
      </x:c>
      <x:c r="E19" s="19" t="n">
        <x:v>2.95</x:v>
      </x:c>
      <x:c r="F19" s="19" t="n">
        <x:v>3</x:v>
      </x:c>
      <x:c r="G19" s="19" t="n">
        <x:v>3.05</x:v>
      </x:c>
    </x:row>
    <x:row r="20">
      <x:c r="A20" t="str">
        <x:v>Fuel gallons</x:v>
      </x:c>
      <x:c r="B20" s="40" t="n">
        <x:f>'UAL DCF'!E17</x:f>
        <x:v>4597.5401999999995</x:v>
      </x:c>
      <x:c r="C20" s="40" t="n">
        <x:f>'UAL DCF'!F17</x:f>
        <x:v>4733.627389919999</x:v>
      </x:c>
      <x:c r="D20" s="40" t="n">
        <x:f>'UAL DCF'!G17</x:f>
        <x:v>4850.311305081527</x:v>
      </x:c>
      <x:c r="E20" s="40" t="n">
        <x:f>'UAL DCF'!H17</x:f>
        <x:v>4945.862437791632</x:v>
      </x:c>
      <x:c r="F20" s="40" t="n">
        <x:f>'UAL DCF'!I17</x:f>
        <x:v>5043.295927816128</x:v>
      </x:c>
      <x:c r="G20" s="40" t="n">
        <x:f>'UAL DCF'!J17</x:f>
        <x:v>5142.648857594106</x:v>
      </x:c>
    </x:row>
    <x:row r="21">
      <x:c r="A21" t="str">
        <x:v>Fuel expense</x:v>
      </x:c>
      <x:c r="B21" s="40" t="n">
        <x:f>B19*B20</x:f>
        <x:v>12873.112559999998</x:v>
      </x:c>
      <x:c r="C21" s="40" t="n">
        <x:f>C19*C20</x:f>
        <x:v>13490.838061271998</x:v>
      </x:c>
      <x:c r="D21" s="40" t="n">
        <x:f>D19*D20</x:f>
        <x:v>14065.902784736429</x:v>
      </x:c>
      <x:c r="E21" s="40" t="n">
        <x:f>E19*E20</x:f>
        <x:v>14590.294191485316</x:v>
      </x:c>
      <x:c r="F21" s="40" t="n">
        <x:f>F19*F20</x:f>
        <x:v>15129.887783448383</x:v>
      </x:c>
      <x:c r="G21" s="40" t="n">
        <x:f>G19*G20</x:f>
        <x:v>15685.079015662022</x:v>
      </x:c>
    </x:row>
    <x:row r="22">
      <x:c r="A22" t="str">
        <x:v>Non-fuel opex ex D&amp;A</x:v>
      </x:c>
      <x:c r="B22" s="40" t="n">
        <x:f>'UAL DCF'!E20</x:f>
        <x:v>39155.53867499999</x:v>
      </x:c>
      <x:c r="C22" s="40" t="n">
        <x:f>'UAL DCF'!F20</x:f>
        <x:v>40925.36902310998</x:v>
      </x:c>
      <x:c r="D22" s="40" t="n">
        <x:f>'UAL DCF'!G20</x:f>
        <x:v>42569.54572361342</x:v>
      </x:c>
      <x:c r="E22" s="40" t="n">
        <x:f>'UAL DCF'!H20</x:f>
        <x:v>44065.86525579842</x:v>
      </x:c>
      <x:c r="F22" s="40" t="n">
        <x:f>'UAL DCF'!I20</x:f>
        <x:v>45614.780419539726</x:v>
      </x:c>
      <x:c r="G22" s="40" t="n">
        <x:f>'UAL DCF'!J20</x:f>
        <x:v>47218.13995128655</x:v>
      </x:c>
    </x:row>
    <x:row r="23">
      <x:c r="A23" t="str">
        <x:v>D&amp;A</x:v>
      </x:c>
      <x:c r="B23" s="40" t="n">
        <x:f>'UAL DCF'!E22</x:f>
        <x:v>3090.3575999999994</x:v>
      </x:c>
      <x:c r="C23" s="40" t="n">
        <x:f>'UAL DCF'!F22</x:f>
        <x:v>3246.11162304</x:v>
      </x:c>
      <x:c r="D23" s="40" t="n">
        <x:f>'UAL DCF'!G22</x:f>
        <x:v>3393.3227851448632</x:v>
      </x:c>
      <x:c r="E23" s="40" t="n">
        <x:f>'UAL DCF'!H22</x:f>
        <x:v>3530.073693386201</x:v>
      </x:c>
      <x:c r="F23" s="40" t="n">
        <x:f>'UAL DCF'!I22</x:f>
        <x:v>3672.335663229665</x:v>
      </x:c>
      <x:c r="G23" s="40" t="n">
        <x:f>'UAL DCF'!J22</x:f>
        <x:v>3820.330790457821</x:v>
      </x:c>
    </x:row>
    <x:row r="24">
      <x:c r="A24" t="str">
        <x:v>EBIT</x:v>
      </x:c>
      <x:c r="B24" s="40" t="n">
        <x:f>B18-B21-B22-B23</x:f>
        <x:v>4836.511635661391</x:v>
      </x:c>
      <x:c r="C24" s="40" t="n">
        <x:f>C18-C21-C22-C23</x:f>
        <x:v>5354.454430707257</x:v>
      </x:c>
      <x:c r="D24" s="40" t="n">
        <x:f>D18-D21-D22-D23</x:f>
        <x:v>5887.395552054337</x:v>
      </x:c>
      <x:c r="E24" s="40" t="n">
        <x:f>E18-E21-E22-E23</x:f>
        <x:v>6459.7855587617</x:v>
      </x:c>
      <x:c r="F24" s="40" t="n">
        <x:f>F18-F21-F22-F23</x:f>
        <x:v>7040.781317500621</x:v>
      </x:c>
      <x:c r="G24" s="40" t="n">
        <x:f>G18-G21-G22-G23</x:f>
        <x:v>7661.317461573202</x:v>
      </x:c>
    </x:row>
    <x:row r="25">
      <x:c r="A25" t="str">
        <x:v>Tax rate</x:v>
      </x:c>
      <x:c r="B25" s="45" t="n">
        <x:f>'UAL DCF'!E26</x:f>
        <x:v>0.245</x:v>
      </x:c>
      <x:c r="C25" s="45" t="n">
        <x:f>'UAL DCF'!F26</x:f>
        <x:v>0.245</x:v>
      </x:c>
      <x:c r="D25" s="45" t="n">
        <x:f>'UAL DCF'!G26</x:f>
        <x:v>0.245</x:v>
      </x:c>
      <x:c r="E25" s="45" t="n">
        <x:f>'UAL DCF'!H26</x:f>
        <x:v>0.245</x:v>
      </x:c>
      <x:c r="F25" s="45" t="n">
        <x:f>'UAL DCF'!I26</x:f>
        <x:v>0.245</x:v>
      </x:c>
      <x:c r="G25" s="45" t="n">
        <x:f>'UAL DCF'!J26</x:f>
        <x:v>0.245</x:v>
      </x:c>
    </x:row>
    <x:row r="26">
      <x:c r="A26" t="str">
        <x:v>NOPAT</x:v>
      </x:c>
      <x:c r="B26" s="40" t="n">
        <x:f>B24*(1-B25)</x:f>
        <x:v>3651.56628492435</x:v>
      </x:c>
      <x:c r="C26" s="40" t="n">
        <x:f>C24*(1-C25)</x:f>
        <x:v>4042.6130951839796</x:v>
      </x:c>
      <x:c r="D26" s="40" t="n">
        <x:f>D24*(1-D25)</x:f>
        <x:v>4444.9836418010245</x:v>
      </x:c>
      <x:c r="E26" s="40" t="n">
        <x:f>E24*(1-E25)</x:f>
        <x:v>4877.138096865083</x:v>
      </x:c>
      <x:c r="F26" s="40" t="n">
        <x:f>F24*(1-F25)</x:f>
        <x:v>5315.789894712969</x:v>
      </x:c>
      <x:c r="G26" s="40" t="n">
        <x:f>G24*(1-G25)</x:f>
        <x:v>5784.2946834877675</x:v>
      </x:c>
    </x:row>
    <x:row r="27">
      <x:c r="A27" t="str">
        <x:v>Capex % revenue</x:v>
      </x:c>
      <x:c r="B27" s="45" t="n">
        <x:f>'UAL DCF'!E28</x:f>
        <x:v>0.11</x:v>
      </x:c>
      <x:c r="C27" s="45" t="n">
        <x:f>'UAL DCF'!F28</x:f>
        <x:v>0.105</x:v>
      </x:c>
      <x:c r="D27" s="45" t="n">
        <x:f>'UAL DCF'!G28</x:f>
        <x:v>0.1</x:v>
      </x:c>
      <x:c r="E27" s="45" t="n">
        <x:f>'UAL DCF'!H28</x:f>
        <x:v>0.095</x:v>
      </x:c>
      <x:c r="F27" s="45" t="n">
        <x:f>'UAL DCF'!I28</x:f>
        <x:v>0.091</x:v>
      </x:c>
      <x:c r="G27" s="45" t="n">
        <x:f>'UAL DCF'!J28</x:f>
        <x:v>0.0885</x:v>
      </x:c>
    </x:row>
    <x:row r="28">
      <x:c r="A28" t="str">
        <x:v>Capex</x:v>
      </x:c>
      <x:c r="B28" s="40" t="n">
        <x:f>B18*B27</x:f>
        <x:v>6595.107251772751</x:v>
      </x:c>
      <x:c r="C28" s="40" t="n">
        <x:f>C18*C27</x:f>
        <x:v>6616.76117950357</x:v>
      </x:c>
      <x:c r="D28" s="40" t="n">
        <x:f>D18*D27</x:f>
        <x:v>6591.616684554905</x:v>
      </x:c>
      <x:c r="E28" s="40" t="n">
        <x:f>E18*E27</x:f>
        <x:v>6521.371776446005</x:v>
      </x:c>
      <x:c r="F28" s="40" t="n">
        <x:f>F18*F27</x:f>
        <x:v>6502.658451718374</x:v>
      </x:c>
      <x:c r="G28" s="40" t="n">
        <x:f>G18*G27</x:f>
        <x:v>6583.060748879693</x:v>
      </x:c>
    </x:row>
    <x:row r="29">
      <x:c r="A29" t="str">
        <x:v>ΔNWC % revenue</x:v>
      </x:c>
      <x:c r="B29" s="45" t="n">
        <x:f>'UAL DCF'!E30</x:f>
        <x:v>-0.004</x:v>
      </x:c>
      <x:c r="C29" s="45" t="n">
        <x:f>'UAL DCF'!F30</x:f>
        <x:v>-0.003</x:v>
      </x:c>
      <x:c r="D29" s="45" t="n">
        <x:f>'UAL DCF'!G30</x:f>
        <x:v>-0.002</x:v>
      </x:c>
      <x:c r="E29" s="45" t="n">
        <x:f>'UAL DCF'!H30</x:f>
        <x:v>-0.001</x:v>
      </x:c>
      <x:c r="F29" s="45" t="n">
        <x:f>'UAL DCF'!I30</x:f>
        <x:v>0</x:v>
      </x:c>
      <x:c r="G29" s="45" t="n">
        <x:f>'UAL DCF'!J30</x:f>
        <x:v>0</x:v>
      </x:c>
    </x:row>
    <x:row r="30">
      <x:c r="A30" t="str">
        <x:v>ΔNWC</x:v>
      </x:c>
      <x:c r="B30" s="40" t="n">
        <x:f>B18*B29</x:f>
        <x:v>-239.8220818826455</x:v>
      </x:c>
      <x:c r="C30" s="40" t="n">
        <x:f>C18*C29</x:f>
        <x:v>-189.05031941438773</x:v>
      </x:c>
      <x:c r="D30" s="40" t="n">
        <x:f>D18*D29</x:f>
        <x:v>-131.83233369109809</x:v>
      </x:c>
      <x:c r="E30" s="40" t="n">
        <x:f>E18*E29</x:f>
        <x:v>-68.64601869943164</x:v>
      </x:c>
      <x:c r="F30" s="40" t="n">
        <x:f>F18*F29</x:f>
        <x:v>0</x:v>
      </x:c>
      <x:c r="G30" s="40" t="n">
        <x:f>G18*G29</x:f>
        <x:v>0</x:v>
      </x:c>
    </x:row>
    <x:row r="31">
      <x:c r="A31" t="str">
        <x:v>UFCF</x:v>
      </x:c>
      <x:c r="B31" s="40" t="n">
        <x:f>B26+B23-B28-B30</x:f>
        <x:v>386.6387150342441</x:v>
      </x:c>
      <x:c r="C31" s="40" t="n">
        <x:f>C26+C23-C28-C30</x:f>
        <x:v>861.0138581347967</x:v>
      </x:c>
      <x:c r="D31" s="40" t="n">
        <x:f>D26+D23-D28-D30</x:f>
        <x:v>1378.5220760820812</x:v>
      </x:c>
      <x:c r="E31" s="40" t="n">
        <x:f>E26+E23-E28-E30</x:f>
        <x:v>1954.48603250471</x:v>
      </x:c>
      <x:c r="F31" s="40" t="n">
        <x:f>F26+F23-F28-F30</x:f>
        <x:v>2485.4671062242605</x:v>
      </x:c>
      <x:c r="G31" s="40" t="n">
        <x:f>G26+G23-G28-G30</x:f>
        <x:v>3021.564725065896</x:v>
      </x:c>
    </x:row>
    <x:row r="32">
      <x:c r="A32" t="str">
        <x:v>Discount factor</x:v>
      </x:c>
      <x:c r="B32" s="51" t="n">
        <x:f>(1+$B$5)^1</x:f>
        <x:v>1.09</x:v>
      </x:c>
      <x:c r="C32" s="51" t="n">
        <x:f>(1+$B$5)^2</x:f>
        <x:v>1.1881000000000002</x:v>
      </x:c>
      <x:c r="D32" s="51" t="n">
        <x:f>(1+$B$5)^3</x:f>
        <x:v>1.2950290000000002</x:v>
      </x:c>
      <x:c r="E32" s="51" t="n">
        <x:f>(1+$B$5)^4</x:f>
        <x:v>1.4115816100000005</x:v>
      </x:c>
      <x:c r="F32" s="51" t="n">
        <x:f>(1+$B$5)^5</x:f>
        <x:v>1.5386239549000005</x:v>
      </x:c>
      <x:c r="G32" s="51" t="n">
        <x:f>(1+$B$5)^6</x:f>
        <x:v>1.6771001108410006</x:v>
      </x:c>
    </x:row>
    <x:row r="33">
      <x:c r="A33" t="str">
        <x:v>PV of UFCF</x:v>
      </x:c>
      <x:c r="B33" s="40" t="n">
        <x:f>B31/B32</x:f>
        <x:v>354.7144174626093</x:v>
      </x:c>
      <x:c r="C33" s="40" t="n">
        <x:f>C31/C32</x:f>
        <x:v>724.6981383173105</x:v>
      </x:c>
      <x:c r="D33" s="40" t="n">
        <x:f>D31/D32</x:f>
        <x:v>1064.4719740500645</x:v>
      </x:c>
      <x:c r="E33" s="40" t="n">
        <x:f>E31/E32</x:f>
        <x:v>1384.6071801011274</x:v>
      </x:c>
      <x:c r="F33" s="40" t="n">
        <x:f>F31/F32</x:f>
        <x:v>1615.3830819472703</x:v>
      </x:c>
      <x:c r="G33" s="40" t="n">
        <x:f>G31/G32</x:f>
        <x:v>1801.6603216075744</x:v>
      </x:c>
    </x:row>
    <x:row r="34">
      <x:c r="A34" t="str">
        <x:v>Normalized terminal UFCF</x:v>
      </x:c>
      <x:c r="B34" s="40"/>
      <x:c r="C34" s="40"/>
      <x:c r="D34" s="40"/>
      <x:c r="E34" s="40"/>
      <x:c r="F34" s="40"/>
      <x:c r="G34" s="40" t="n">
        <x:f>G26*(1-$C$5/$I$5)*(1+$C$5)</x:f>
        <x:v>4446.676537931221</x:v>
      </x:c>
    </x:row>
    <x:row r="35">
      <x:c r="A35" t="str">
        <x:v>Terminal value</x:v>
      </x:c>
      <x:c r="B35" s="40"/>
      <x:c r="C35" s="40"/>
      <x:c r="D35" s="40"/>
      <x:c r="E35" s="40"/>
      <x:c r="F35" s="40"/>
      <x:c r="G35" s="40" t="n">
        <x:f>G34/($B$5-$C$5)</x:f>
        <x:v>68410.40827586493</x:v>
      </x:c>
    </x:row>
    <x:row r="36">
      <x:c r="A36" t="str">
        <x:v>PV of terminal value</x:v>
      </x:c>
      <x:c r="B36" s="40"/>
      <x:c r="C36" s="40"/>
      <x:c r="D36" s="40"/>
      <x:c r="E36" s="40"/>
      <x:c r="F36" s="40"/>
      <x:c r="G36" s="40" t="n">
        <x:f>G35/G32</x:f>
        <x:v>40790.89127336576</x:v>
      </x:c>
    </x:row>
    <x:row r="37">
      <x:c r="A37" s="55" t="str">
        <x:v>Enterprise value</x:v>
      </x:c>
      <x:c r="B37" s="66"/>
      <x:c r="C37" s="66"/>
      <x:c r="D37" s="66"/>
      <x:c r="E37" s="66"/>
      <x:c r="F37" s="66"/>
      <x:c r="G37" s="66" t="n">
        <x:f>SUM(B33:G33)+G36</x:f>
        <x:v>47736.42638685172</x:v>
      </x:c>
    </x:row>
    <x:row r="38">
      <x:c r="A38" s="55" t="str">
        <x:v>Lease- and pension-adjusted net debt</x:v>
      </x:c>
      <x:c r="B38" s="66"/>
      <x:c r="C38" s="66"/>
      <x:c r="D38" s="66"/>
      <x:c r="E38" s="66"/>
      <x:c r="F38" s="66"/>
      <x:c r="G38" s="66" t="n">
        <x:f>'UAL Inputs'!B42</x:f>
        <x:v>18369</x:v>
      </x:c>
    </x:row>
    <x:row r="39">
      <x:c r="A39" s="55" t="str">
        <x:v>Equity value</x:v>
      </x:c>
      <x:c r="B39" s="66"/>
      <x:c r="C39" s="66"/>
      <x:c r="D39" s="66"/>
      <x:c r="E39" s="66"/>
      <x:c r="F39" s="66"/>
      <x:c r="G39" s="66" t="n">
        <x:f>G37-G38</x:f>
        <x:v>29367.426386851723</x:v>
      </x:c>
    </x:row>
    <x:row r="40">
      <x:c r="A40" s="55" t="str">
        <x:v>Diluted shares</x:v>
      </x:c>
      <x:c r="B40" s="66"/>
      <x:c r="C40" s="66"/>
      <x:c r="D40" s="66"/>
      <x:c r="E40" s="66"/>
      <x:c r="F40" s="66"/>
      <x:c r="G40" s="66" t="n">
        <x:f>'UAL Inputs'!B39</x:f>
        <x:v>323.732094</x:v>
      </x:c>
    </x:row>
    <x:row r="41">
      <x:c r="A41" s="55" t="str">
        <x:v>Implied value per share</x:v>
      </x:c>
      <x:c r="B41" s="66"/>
      <x:c r="C41" s="66"/>
      <x:c r="D41" s="66"/>
      <x:c r="E41" s="66"/>
      <x:c r="F41" s="66"/>
      <x:c r="G41" s="67" t="n">
        <x:f>G39/G40</x:f>
        <x:v>90.71521462080223</x:v>
      </x:c>
    </x:row>
    <x:row r="42">
      <x:c r="A42" s="55" t="str">
        <x:v>Upside vs. market</x:v>
      </x:c>
      <x:c r="B42" s="66"/>
      <x:c r="C42" s="66"/>
      <x:c r="D42" s="66"/>
      <x:c r="E42" s="66"/>
      <x:c r="F42" s="66"/>
      <x:c r="G42" s="68" t="n">
        <x:f>G41/'UAL Inputs'!B40-1</x:f>
        <x:v>-0.13604557503997883</x:v>
      </x:c>
    </x:row>
    <x:row r="45">
      <x:c r="A45" s="8" t="str">
        <x:v>Base Case Mechanics</x:v>
      </x:c>
      <x:c r="B45" s="8"/>
      <x:c r="C45" s="8"/>
      <x:c r="D45" s="8"/>
      <x:c r="E45" s="8"/>
      <x:c r="F45" s="8"/>
      <x:c r="G45" s="8"/>
    </x:row>
    <x:row r="46">
      <x:c r="A46" s="14" t="str">
        <x:v>Metric</x:v>
      </x:c>
      <x:c r="B46" s="14" t="str">
        <x:v>2025E</x:v>
      </x:c>
      <x:c r="C46" s="14" t="str">
        <x:v>2026E</x:v>
      </x:c>
      <x:c r="D46" s="14" t="str">
        <x:v>2027E</x:v>
      </x:c>
      <x:c r="E46" s="14" t="str">
        <x:v>2028E</x:v>
      </x:c>
      <x:c r="F46" s="14" t="str">
        <x:v>2029E</x:v>
      </x:c>
      <x:c r="G46" s="14" t="str">
        <x:v>2030E</x:v>
      </x:c>
    </x:row>
    <x:row r="47">
      <x:c r="A47" t="str">
        <x:v>ASM</x:v>
      </x:c>
      <x:c r="B47" s="40" t="n">
        <x:f>'UAL DCF'!E6</x:f>
        <x:v>325188.32499999995</x:v>
      </x:c>
      <x:c r="C47" s="40" t="n">
        <x:f>'UAL DCF'!F6</x:f>
        <x:v>338195.85799999995</x:v>
      </x:c>
      <x:c r="D47" s="40" t="n">
        <x:f>'UAL DCF'!G6</x:f>
        <x:v>350032.7130299999</x:v>
      </x:c>
      <x:c r="E47" s="40" t="n">
        <x:f>'UAL DCF'!H6</x:f>
        <x:v>360533.6944208999</x:v>
      </x:c>
      <x:c r="F47" s="40" t="n">
        <x:f>'UAL DCF'!I6</x:f>
        <x:v>371349.7052535269</x:v>
      </x:c>
      <x:c r="G47" s="40" t="n">
        <x:f>'UAL DCF'!J6</x:f>
        <x:v>382490.19641113275</x:v>
      </x:c>
    </x:row>
    <x:row r="48">
      <x:c r="A48" t="str">
        <x:v>Load factor</x:v>
      </x:c>
      <x:c r="B48" s="17" t="n">
        <x:v>0.832</x:v>
      </x:c>
      <x:c r="C48" s="17" t="n">
        <x:v>0.833</x:v>
      </x:c>
      <x:c r="D48" s="17" t="n">
        <x:v>0.834</x:v>
      </x:c>
      <x:c r="E48" s="17" t="n">
        <x:v>0.835</x:v>
      </x:c>
      <x:c r="F48" s="17" t="n">
        <x:v>0.836</x:v>
      </x:c>
      <x:c r="G48" s="17" t="n">
        <x:v>0.837</x:v>
      </x:c>
    </x:row>
    <x:row r="49">
      <x:c r="A49" t="str">
        <x:v>Yield ($/RPM)</x:v>
      </x:c>
      <x:c r="B49" s="47" t="n">
        <x:f>'UAL DCF'!E9</x:f>
        <x:v>0.20250500000000002</x:v>
      </x:c>
      <x:c r="C49" s="47" t="n">
        <x:f>'UAL DCF'!F9</x:f>
        <x:v>0.20453005000000002</x:v>
      </x:c>
      <x:c r="D49" s="47" t="n">
        <x:f>'UAL DCF'!G9</x:f>
        <x:v>0.20657535050000003</x:v>
      </x:c>
      <x:c r="E49" s="47" t="n">
        <x:f>'UAL DCF'!H9</x:f>
        <x:v>0.20864110400500002</x:v>
      </x:c>
      <x:c r="F49" s="47" t="n">
        <x:f>'UAL DCF'!I9</x:f>
        <x:v>0.21072751504505002</x:v>
      </x:c>
      <x:c r="G49" s="47" t="n">
        <x:f>'UAL DCF'!J9</x:f>
        <x:v>0.21283479019550053</x:v>
      </x:c>
    </x:row>
    <x:row r="50">
      <x:c r="A50" t="str">
        <x:v>Passenger revenue</x:v>
      </x:c>
      <x:c r="B50" s="40" t="n">
        <x:f>B47*B48*B49</x:f>
        <x:v>54789.081779431996</x:v>
      </x:c>
      <x:c r="C50" s="40" t="n">
        <x:f>C47*C48*C49</x:f>
        <x:v>57619.6227168619</x:v>
      </x:c>
      <x:c r="D50" s="40" t="n">
        <x:f>D47*D48*D49</x:f>
        <x:v>60304.98073745223</x:v>
      </x:c>
      <x:c r="E50" s="40" t="n">
        <x:f>E47*E48*E49</x:f>
        <x:v>62810.493609206525</x:v>
      </x:c>
      <x:c r="F50" s="40" t="n">
        <x:f>F47*F48*F49</x:f>
        <x:v>65420.01010225834</x:v>
      </x:c>
      <x:c r="G50" s="40" t="n">
        <x:f>G47*G48*G49</x:f>
        <x:v>68137.84373008435</x:v>
      </x:c>
    </x:row>
    <x:row r="51">
      <x:c r="A51" t="str">
        <x:v>Cargo &amp; other revenue</x:v>
      </x:c>
      <x:c r="B51" s="40" t="n">
        <x:f>'UAL DCF'!E11</x:f>
        <x:v>5495.7</x:v>
      </x:c>
      <x:c r="C51" s="40" t="n">
        <x:f>'UAL DCF'!F11</x:f>
        <x:v>5743.0064999999995</x:v>
      </x:c>
      <x:c r="D51" s="40" t="n">
        <x:f>'UAL DCF'!G11</x:f>
        <x:v>5972.72676</x:v>
      </x:c>
      <x:c r="E51" s="40" t="n">
        <x:f>'UAL DCF'!H11</x:f>
        <x:v>6211.6358304</x:v>
      </x:c>
      <x:c r="F51" s="40" t="n">
        <x:f>'UAL DCF'!I11</x:f>
        <x:v>6429.043084463999</x:v>
      </x:c>
      <x:c r="G51" s="40" t="n">
        <x:f>'UAL DCF'!J11</x:f>
        <x:v>6654.059592420238</x:v>
      </x:c>
    </x:row>
    <x:row r="52">
      <x:c r="A52" t="str">
        <x:v>Total revenue</x:v>
      </x:c>
      <x:c r="B52" s="40" t="n">
        <x:f>B50+B51</x:f>
        <x:v>60284.78177943199</x:v>
      </x:c>
      <x:c r="C52" s="40" t="n">
        <x:f>C50+C51</x:f>
        <x:v>63362.6292168619</x:v>
      </x:c>
      <x:c r="D52" s="40" t="n">
        <x:f>D50+D51</x:f>
        <x:v>66277.70749745223</x:v>
      </x:c>
      <x:c r="E52" s="40" t="n">
        <x:f>E50+E51</x:f>
        <x:v>69022.12943960652</x:v>
      </x:c>
      <x:c r="F52" s="40" t="n">
        <x:f>F50+F51</x:f>
        <x:v>71849.05318672233</x:v>
      </x:c>
      <x:c r="G52" s="40" t="n">
        <x:f>G50+G51</x:f>
        <x:v>74791.90332250459</x:v>
      </x:c>
    </x:row>
    <x:row r="53">
      <x:c r="A53" t="str">
        <x:v>Fuel price ($/gal)</x:v>
      </x:c>
      <x:c r="B53" s="19" t="n">
        <x:v>2.65</x:v>
      </x:c>
      <x:c r="C53" s="19" t="n">
        <x:v>2.7</x:v>
      </x:c>
      <x:c r="D53" s="19" t="n">
        <x:v>2.75</x:v>
      </x:c>
      <x:c r="E53" s="19" t="n">
        <x:v>2.8</x:v>
      </x:c>
      <x:c r="F53" s="19" t="n">
        <x:v>2.85</x:v>
      </x:c>
      <x:c r="G53" s="19" t="n">
        <x:v>2.9</x:v>
      </x:c>
    </x:row>
    <x:row r="54">
      <x:c r="A54" t="str">
        <x:v>Fuel gallons</x:v>
      </x:c>
      <x:c r="B54" s="40" t="n">
        <x:f>'UAL DCF'!E17</x:f>
        <x:v>4597.5401999999995</x:v>
      </x:c>
      <x:c r="C54" s="40" t="n">
        <x:f>'UAL DCF'!F17</x:f>
        <x:v>4733.627389919999</x:v>
      </x:c>
      <x:c r="D54" s="40" t="n">
        <x:f>'UAL DCF'!G17</x:f>
        <x:v>4850.311305081527</x:v>
      </x:c>
      <x:c r="E54" s="40" t="n">
        <x:f>'UAL DCF'!H17</x:f>
        <x:v>4945.862437791632</x:v>
      </x:c>
      <x:c r="F54" s="40" t="n">
        <x:f>'UAL DCF'!I17</x:f>
        <x:v>5043.295927816128</x:v>
      </x:c>
      <x:c r="G54" s="40" t="n">
        <x:f>'UAL DCF'!J17</x:f>
        <x:v>5142.648857594106</x:v>
      </x:c>
    </x:row>
    <x:row r="55">
      <x:c r="A55" t="str">
        <x:v>Fuel expense</x:v>
      </x:c>
      <x:c r="B55" s="40" t="n">
        <x:f>B53*B54</x:f>
        <x:v>12183.481529999997</x:v>
      </x:c>
      <x:c r="C55" s="40" t="n">
        <x:f>C53*C54</x:f>
        <x:v>12780.793952783997</x:v>
      </x:c>
      <x:c r="D55" s="40" t="n">
        <x:f>D53*D54</x:f>
        <x:v>13338.3560889742</x:v>
      </x:c>
      <x:c r="E55" s="40" t="n">
        <x:f>E53*E54</x:f>
        <x:v>13848.41482581657</x:v>
      </x:c>
      <x:c r="F55" s="40" t="n">
        <x:f>F53*F54</x:f>
        <x:v>14373.393394275965</x:v>
      </x:c>
      <x:c r="G55" s="40" t="n">
        <x:f>G53*G54</x:f>
        <x:v>14913.681687022907</x:v>
      </x:c>
    </x:row>
    <x:row r="56">
      <x:c r="A56" t="str">
        <x:v>Non-fuel opex ex D&amp;A</x:v>
      </x:c>
      <x:c r="B56" s="40" t="n">
        <x:f>'UAL DCF'!E20</x:f>
        <x:v>39155.53867499999</x:v>
      </x:c>
      <x:c r="C56" s="40" t="n">
        <x:f>'UAL DCF'!F20</x:f>
        <x:v>40925.36902310998</x:v>
      </x:c>
      <x:c r="D56" s="40" t="n">
        <x:f>'UAL DCF'!G20</x:f>
        <x:v>42569.54572361342</x:v>
      </x:c>
      <x:c r="E56" s="40" t="n">
        <x:f>'UAL DCF'!H20</x:f>
        <x:v>44065.86525579842</x:v>
      </x:c>
      <x:c r="F56" s="40" t="n">
        <x:f>'UAL DCF'!I20</x:f>
        <x:v>45614.780419539726</x:v>
      </x:c>
      <x:c r="G56" s="40" t="n">
        <x:f>'UAL DCF'!J20</x:f>
        <x:v>47218.13995128655</x:v>
      </x:c>
    </x:row>
    <x:row r="57">
      <x:c r="A57" t="str">
        <x:v>D&amp;A</x:v>
      </x:c>
      <x:c r="B57" s="40" t="n">
        <x:f>'UAL DCF'!E22</x:f>
        <x:v>3090.3575999999994</x:v>
      </x:c>
      <x:c r="C57" s="40" t="n">
        <x:f>'UAL DCF'!F22</x:f>
        <x:v>3246.11162304</x:v>
      </x:c>
      <x:c r="D57" s="40" t="n">
        <x:f>'UAL DCF'!G22</x:f>
        <x:v>3393.3227851448632</x:v>
      </x:c>
      <x:c r="E57" s="40" t="n">
        <x:f>'UAL DCF'!H22</x:f>
        <x:v>3530.073693386201</x:v>
      </x:c>
      <x:c r="F57" s="40" t="n">
        <x:f>'UAL DCF'!I22</x:f>
        <x:v>3672.335663229665</x:v>
      </x:c>
      <x:c r="G57" s="40" t="n">
        <x:f>'UAL DCF'!J22</x:f>
        <x:v>3820.330790457821</x:v>
      </x:c>
    </x:row>
    <x:row r="58">
      <x:c r="A58" t="str">
        <x:v>EBIT</x:v>
      </x:c>
      <x:c r="B58" s="40" t="n">
        <x:f>B52-B55-B56-B57</x:f>
        <x:v>5855.403974432007</x:v>
      </x:c>
      <x:c r="C58" s="40" t="n">
        <x:f>C52-C55-C56-C57</x:f>
        <x:v>6410.354617927915</x:v>
      </x:c>
      <x:c r="D58" s="40" t="n">
        <x:f>D52-D55-D56-D57</x:f>
        <x:v>6976.482899719746</x:v>
      </x:c>
      <x:c r="E58" s="40" t="n">
        <x:f>E52-E55-E56-E57</x:f>
        <x:v>7577.775664605337</x:v>
      </x:c>
      <x:c r="F58" s="40" t="n">
        <x:f>F52-F55-F56-F57</x:f>
        <x:v>8188.54370967698</x:v>
      </x:c>
      <x:c r="G58" s="40" t="n">
        <x:f>G52-G55-G56-G57</x:f>
        <x:v>8839.75089373731</x:v>
      </x:c>
    </x:row>
    <x:row r="59">
      <x:c r="A59" t="str">
        <x:v>Tax rate</x:v>
      </x:c>
      <x:c r="B59" s="45" t="n">
        <x:f>'UAL DCF'!E26</x:f>
        <x:v>0.245</x:v>
      </x:c>
      <x:c r="C59" s="45" t="n">
        <x:f>'UAL DCF'!F26</x:f>
        <x:v>0.245</x:v>
      </x:c>
      <x:c r="D59" s="45" t="n">
        <x:f>'UAL DCF'!G26</x:f>
        <x:v>0.245</x:v>
      </x:c>
      <x:c r="E59" s="45" t="n">
        <x:f>'UAL DCF'!H26</x:f>
        <x:v>0.245</x:v>
      </x:c>
      <x:c r="F59" s="45" t="n">
        <x:f>'UAL DCF'!I26</x:f>
        <x:v>0.245</x:v>
      </x:c>
      <x:c r="G59" s="45" t="n">
        <x:f>'UAL DCF'!J26</x:f>
        <x:v>0.245</x:v>
      </x:c>
    </x:row>
    <x:row r="60">
      <x:c r="A60" t="str">
        <x:v>NOPAT</x:v>
      </x:c>
      <x:c r="B60" s="40" t="n">
        <x:f>B58*(1-B59)</x:f>
        <x:v>4420.830000696165</x:v>
      </x:c>
      <x:c r="C60" s="40" t="n">
        <x:f>C58*(1-C59)</x:f>
        <x:v>4839.817736535576</x:v>
      </x:c>
      <x:c r="D60" s="40" t="n">
        <x:f>D58*(1-D59)</x:f>
        <x:v>5267.244589288408</x:v>
      </x:c>
      <x:c r="E60" s="40" t="n">
        <x:f>E58*(1-E59)</x:f>
        <x:v>5721.220626777029</x:v>
      </x:c>
      <x:c r="F60" s="40" t="n">
        <x:f>F58*(1-F59)</x:f>
        <x:v>6182.35050080612</x:v>
      </x:c>
      <x:c r="G60" s="40" t="n">
        <x:f>G58*(1-G59)</x:f>
        <x:v>6674.011924771668</x:v>
      </x:c>
    </x:row>
    <x:row r="61">
      <x:c r="A61" t="str">
        <x:v>Capex % revenue</x:v>
      </x:c>
      <x:c r="B61" s="45" t="n">
        <x:f>'UAL DCF'!E28</x:f>
        <x:v>0.11</x:v>
      </x:c>
      <x:c r="C61" s="45" t="n">
        <x:f>'UAL DCF'!F28</x:f>
        <x:v>0.105</x:v>
      </x:c>
      <x:c r="D61" s="45" t="n">
        <x:f>'UAL DCF'!G28</x:f>
        <x:v>0.1</x:v>
      </x:c>
      <x:c r="E61" s="45" t="n">
        <x:f>'UAL DCF'!H28</x:f>
        <x:v>0.095</x:v>
      </x:c>
      <x:c r="F61" s="45" t="n">
        <x:f>'UAL DCF'!I28</x:f>
        <x:v>0.091</x:v>
      </x:c>
      <x:c r="G61" s="45" t="n">
        <x:f>'UAL DCF'!J28</x:f>
        <x:v>0.0885</x:v>
      </x:c>
    </x:row>
    <x:row r="62">
      <x:c r="A62" t="str">
        <x:v>Capex</x:v>
      </x:c>
      <x:c r="B62" s="40" t="n">
        <x:f>B52*B61</x:f>
        <x:v>6631.325995737519</x:v>
      </x:c>
      <x:c r="C62" s="40" t="n">
        <x:f>C52*C61</x:f>
        <x:v>6653.076067770499</x:v>
      </x:c>
      <x:c r="D62" s="40" t="n">
        <x:f>D52*D61</x:f>
        <x:v>6627.770749745223</x:v>
      </x:c>
      <x:c r="E62" s="40" t="n">
        <x:f>E52*E61</x:f>
        <x:v>6557.1022967626195</x:v>
      </x:c>
      <x:c r="F62" s="40" t="n">
        <x:f>F52*F61</x:f>
        <x:v>6538.263839991732</x:v>
      </x:c>
      <x:c r="G62" s="40" t="n">
        <x:f>G52*G61</x:f>
        <x:v>6619.083444041656</x:v>
      </x:c>
    </x:row>
    <x:row r="63">
      <x:c r="A63" t="str">
        <x:v>ΔNWC % revenue</x:v>
      </x:c>
      <x:c r="B63" s="45" t="n">
        <x:f>'UAL DCF'!E30</x:f>
        <x:v>-0.004</x:v>
      </x:c>
      <x:c r="C63" s="45" t="n">
        <x:f>'UAL DCF'!F30</x:f>
        <x:v>-0.003</x:v>
      </x:c>
      <x:c r="D63" s="45" t="n">
        <x:f>'UAL DCF'!G30</x:f>
        <x:v>-0.002</x:v>
      </x:c>
      <x:c r="E63" s="45" t="n">
        <x:f>'UAL DCF'!H30</x:f>
        <x:v>-0.001</x:v>
      </x:c>
      <x:c r="F63" s="45" t="n">
        <x:f>'UAL DCF'!I30</x:f>
        <x:v>0</x:v>
      </x:c>
      <x:c r="G63" s="45" t="n">
        <x:f>'UAL DCF'!J30</x:f>
        <x:v>0</x:v>
      </x:c>
    </x:row>
    <x:row r="64">
      <x:c r="A64" t="str">
        <x:v>ΔNWC</x:v>
      </x:c>
      <x:c r="B64" s="40" t="n">
        <x:f>B52*B63</x:f>
        <x:v>-241.13912711772798</x:v>
      </x:c>
      <x:c r="C64" s="40" t="n">
        <x:f>C52*C63</x:f>
        <x:v>-190.08788765058569</x:v>
      </x:c>
      <x:c r="D64" s="40" t="n">
        <x:f>D52*D63</x:f>
        <x:v>-132.55541499490445</x:v>
      </x:c>
      <x:c r="E64" s="40" t="n">
        <x:f>E52*E63</x:f>
        <x:v>-69.02212943960652</x:v>
      </x:c>
      <x:c r="F64" s="40" t="n">
        <x:f>F52*F63</x:f>
        <x:v>0</x:v>
      </x:c>
      <x:c r="G64" s="40" t="n">
        <x:f>G52*G63</x:f>
        <x:v>0</x:v>
      </x:c>
    </x:row>
    <x:row r="65">
      <x:c r="A65" t="str">
        <x:v>UFCF</x:v>
      </x:c>
      <x:c r="B65" s="40" t="n">
        <x:f>B60+B57-B62-B64</x:f>
        <x:v>1121.0007320763734</x:v>
      </x:c>
      <x:c r="C65" s="40" t="n">
        <x:f>C60+C57-C62-C64</x:f>
        <x:v>1622.9411794556618</x:v>
      </x:c>
      <x:c r="D65" s="40" t="n">
        <x:f>D60+D57-D62-D64</x:f>
        <x:v>2165.352039682952</x:v>
      </x:c>
      <x:c r="E65" s="40" t="n">
        <x:f>E60+E57-E62-E64</x:f>
        <x:v>2763.2141528402167</x:v>
      </x:c>
      <x:c r="F65" s="40" t="n">
        <x:f>F60+F57-F62-F64</x:f>
        <x:v>3316.4223240440533</x:v>
      </x:c>
      <x:c r="G65" s="40" t="n">
        <x:f>G60+G57-G62-G64</x:f>
        <x:v>3875.259271187834</x:v>
      </x:c>
    </x:row>
    <x:row r="66">
      <x:c r="A66" t="str">
        <x:v>Discount factor</x:v>
      </x:c>
      <x:c r="B66" s="51" t="n">
        <x:f>(1+$B$6)^1</x:f>
        <x:v>1.09</x:v>
      </x:c>
      <x:c r="C66" s="51" t="n">
        <x:f>(1+$B$6)^2</x:f>
        <x:v>1.1881000000000002</x:v>
      </x:c>
      <x:c r="D66" s="51" t="n">
        <x:f>(1+$B$6)^3</x:f>
        <x:v>1.2950290000000002</x:v>
      </x:c>
      <x:c r="E66" s="51" t="n">
        <x:f>(1+$B$6)^4</x:f>
        <x:v>1.4115816100000005</x:v>
      </x:c>
      <x:c r="F66" s="51" t="n">
        <x:f>(1+$B$6)^5</x:f>
        <x:v>1.5386239549000005</x:v>
      </x:c>
      <x:c r="G66" s="51" t="n">
        <x:f>(1+$B$6)^6</x:f>
        <x:v>1.6771001108410006</x:v>
      </x:c>
    </x:row>
    <x:row r="67">
      <x:c r="A67" t="str">
        <x:v>PV of UFCF</x:v>
      </x:c>
      <x:c r="B67" s="40" t="n">
        <x:f>B65/B66</x:f>
        <x:v>1028.4410386021773</x:v>
      </x:c>
      <x:c r="C67" s="40" t="n">
        <x:f>C65/C66</x:f>
        <x:v>1365.9971209962644</x:v>
      </x:c>
      <x:c r="D67" s="40" t="n">
        <x:f>D65/D66</x:f>
        <x:v>1672.0490735597054</x:v>
      </x:c>
      <x:c r="E67" s="40" t="n">
        <x:f>E65/E66</x:f>
        <x:v>1957.5305694441681</x:v>
      </x:c>
      <x:c r="F67" s="40" t="n">
        <x:f>F65/F66</x:f>
        <x:v>2155.4469586167315</x:v>
      </x:c>
      <x:c r="G67" s="40" t="n">
        <x:f>G65/G66</x:f>
        <x:v>2310.690486595068</x:v>
      </x:c>
    </x:row>
    <x:row r="68">
      <x:c r="A68" t="str">
        <x:v>Normalized terminal UFCF</x:v>
      </x:c>
      <x:c r="B68" s="40"/>
      <x:c r="C68" s="40"/>
      <x:c r="D68" s="40"/>
      <x:c r="E68" s="40"/>
      <x:c r="F68" s="40"/>
      <x:c r="G68" s="40" t="n">
        <x:f>G60*(1-$C$6/$I$6)*(1+$C$6)</x:f>
        <x:v>5130.646667168219</x:v>
      </x:c>
    </x:row>
    <x:row r="69">
      <x:c r="A69" t="str">
        <x:v>Terminal value</x:v>
      </x:c>
      <x:c r="B69" s="40"/>
      <x:c r="C69" s="40"/>
      <x:c r="D69" s="40"/>
      <x:c r="E69" s="40"/>
      <x:c r="F69" s="40"/>
      <x:c r="G69" s="40" t="n">
        <x:f>G68/($B$6-$C$6)</x:f>
        <x:v>78933.02564874184</x:v>
      </x:c>
    </x:row>
    <x:row r="70">
      <x:c r="A70" t="str">
        <x:v>PV of terminal value</x:v>
      </x:c>
      <x:c r="B70" s="40"/>
      <x:c r="C70" s="40"/>
      <x:c r="D70" s="40"/>
      <x:c r="E70" s="40"/>
      <x:c r="F70" s="40"/>
      <x:c r="G70" s="40" t="n">
        <x:f>G69/G66</x:f>
        <x:v>47065.184206063874</x:v>
      </x:c>
    </x:row>
    <x:row r="71">
      <x:c r="A71" s="55" t="str">
        <x:v>Enterprise value</x:v>
      </x:c>
      <x:c r="B71" s="66"/>
      <x:c r="C71" s="66"/>
      <x:c r="D71" s="66"/>
      <x:c r="E71" s="66"/>
      <x:c r="F71" s="66"/>
      <x:c r="G71" s="66" t="n">
        <x:f>SUM(B67:G67)+G70</x:f>
        <x:v>57555.33945387799</x:v>
      </x:c>
    </x:row>
    <x:row r="72">
      <x:c r="A72" s="55" t="str">
        <x:v>Lease- and pension-adjusted net debt</x:v>
      </x:c>
      <x:c r="B72" s="66"/>
      <x:c r="C72" s="66"/>
      <x:c r="D72" s="66"/>
      <x:c r="E72" s="66"/>
      <x:c r="F72" s="66"/>
      <x:c r="G72" s="66" t="n">
        <x:f>'UAL Inputs'!B42</x:f>
        <x:v>18369</x:v>
      </x:c>
    </x:row>
    <x:row r="73">
      <x:c r="A73" s="55" t="str">
        <x:v>Equity value</x:v>
      </x:c>
      <x:c r="B73" s="66"/>
      <x:c r="C73" s="66"/>
      <x:c r="D73" s="66"/>
      <x:c r="E73" s="66"/>
      <x:c r="F73" s="66"/>
      <x:c r="G73" s="66" t="n">
        <x:f>G71-G72</x:f>
        <x:v>39186.33945387799</x:v>
      </x:c>
    </x:row>
    <x:row r="74">
      <x:c r="A74" s="55" t="str">
        <x:v>Diluted shares</x:v>
      </x:c>
      <x:c r="B74" s="66"/>
      <x:c r="C74" s="66"/>
      <x:c r="D74" s="66"/>
      <x:c r="E74" s="66"/>
      <x:c r="F74" s="66"/>
      <x:c r="G74" s="66" t="n">
        <x:f>'UAL Inputs'!B39</x:f>
        <x:v>323.732094</x:v>
      </x:c>
    </x:row>
    <x:row r="75">
      <x:c r="A75" s="55" t="str">
        <x:v>Implied value per share</x:v>
      </x:c>
      <x:c r="B75" s="66"/>
      <x:c r="C75" s="66"/>
      <x:c r="D75" s="66"/>
      <x:c r="E75" s="66"/>
      <x:c r="F75" s="66"/>
      <x:c r="G75" s="67" t="n">
        <x:f>G73/G74</x:f>
        <x:v>121.04558114611271</x:v>
      </x:c>
    </x:row>
    <x:row r="76">
      <x:c r="A76" s="55" t="str">
        <x:v>Upside vs. market</x:v>
      </x:c>
      <x:c r="B76" s="66"/>
      <x:c r="C76" s="66"/>
      <x:c r="D76" s="66"/>
      <x:c r="E76" s="66"/>
      <x:c r="F76" s="66"/>
      <x:c r="G76" s="68" t="n">
        <x:f>G75/'UAL Inputs'!B40-1</x:f>
        <x:v>0.1528150585344068</x:v>
      </x:c>
    </x:row>
    <x:row r="79">
      <x:c r="A79" s="8" t="str">
        <x:v>Bull Case Mechanics</x:v>
      </x:c>
      <x:c r="B79" s="8"/>
      <x:c r="C79" s="8"/>
      <x:c r="D79" s="8"/>
      <x:c r="E79" s="8"/>
      <x:c r="F79" s="8"/>
      <x:c r="G79" s="8"/>
    </x:row>
    <x:row r="80">
      <x:c r="A80" s="14" t="str">
        <x:v>Metric</x:v>
      </x:c>
      <x:c r="B80" s="14" t="str">
        <x:v>2025E</x:v>
      </x:c>
      <x:c r="C80" s="14" t="str">
        <x:v>2026E</x:v>
      </x:c>
      <x:c r="D80" s="14" t="str">
        <x:v>2027E</x:v>
      </x:c>
      <x:c r="E80" s="14" t="str">
        <x:v>2028E</x:v>
      </x:c>
      <x:c r="F80" s="14" t="str">
        <x:v>2029E</x:v>
      </x:c>
      <x:c r="G80" s="14" t="str">
        <x:v>2030E</x:v>
      </x:c>
    </x:row>
    <x:row r="81">
      <x:c r="A81" t="str">
        <x:v>ASM</x:v>
      </x:c>
      <x:c r="B81" s="40" t="n">
        <x:f>'UAL DCF'!E6</x:f>
        <x:v>325188.32499999995</x:v>
      </x:c>
      <x:c r="C81" s="40" t="n">
        <x:f>'UAL DCF'!F6</x:f>
        <x:v>338195.85799999995</x:v>
      </x:c>
      <x:c r="D81" s="40" t="n">
        <x:f>'UAL DCF'!G6</x:f>
        <x:v>350032.7130299999</x:v>
      </x:c>
      <x:c r="E81" s="40" t="n">
        <x:f>'UAL DCF'!H6</x:f>
        <x:v>360533.6944208999</x:v>
      </x:c>
      <x:c r="F81" s="40" t="n">
        <x:f>'UAL DCF'!I6</x:f>
        <x:v>371349.7052535269</x:v>
      </x:c>
      <x:c r="G81" s="40" t="n">
        <x:f>'UAL DCF'!J6</x:f>
        <x:v>382490.19641113275</x:v>
      </x:c>
    </x:row>
    <x:row r="82">
      <x:c r="A82" t="str">
        <x:v>Load factor</x:v>
      </x:c>
      <x:c r="B82" s="17" t="n">
        <x:v>0.837</x:v>
      </x:c>
      <x:c r="C82" s="17" t="n">
        <x:v>0.838</x:v>
      </x:c>
      <x:c r="D82" s="17" t="n">
        <x:v>0.839</x:v>
      </x:c>
      <x:c r="E82" s="17" t="n">
        <x:v>0.84</x:v>
      </x:c>
      <x:c r="F82" s="17" t="n">
        <x:v>0.841</x:v>
      </x:c>
      <x:c r="G82" s="17" t="n">
        <x:v>0.842</x:v>
      </x:c>
    </x:row>
    <x:row r="83">
      <x:c r="A83" t="str">
        <x:v>Yield ($/RPM)</x:v>
      </x:c>
      <x:c r="B83" s="47" t="n">
        <x:f>'UAL DCF'!E9</x:f>
        <x:v>0.20250500000000002</x:v>
      </x:c>
      <x:c r="C83" s="47" t="n">
        <x:f>'UAL DCF'!F9</x:f>
        <x:v>0.20453005000000002</x:v>
      </x:c>
      <x:c r="D83" s="47" t="n">
        <x:f>'UAL DCF'!G9</x:f>
        <x:v>0.20657535050000003</x:v>
      </x:c>
      <x:c r="E83" s="47" t="n">
        <x:f>'UAL DCF'!H9</x:f>
        <x:v>0.20864110400500002</x:v>
      </x:c>
      <x:c r="F83" s="47" t="n">
        <x:f>'UAL DCF'!I9</x:f>
        <x:v>0.21072751504505002</x:v>
      </x:c>
      <x:c r="G83" s="47" t="n">
        <x:f>'UAL DCF'!J9</x:f>
        <x:v>0.21283479019550053</x:v>
      </x:c>
    </x:row>
    <x:row r="84">
      <x:c r="A84" t="str">
        <x:v>Passenger revenue</x:v>
      </x:c>
      <x:c r="B84" s="40" t="n">
        <x:f>B81*B82*B83</x:f>
        <x:v>55118.343088202615</x:v>
      </x:c>
      <x:c r="C84" s="40" t="n">
        <x:f>C81*C82*C83</x:f>
        <x:v>57965.47879559456</x:v>
      </x:c>
      <x:c r="D84" s="40" t="n">
        <x:f>D81*D82*D83</x:f>
        <x:v>60666.52138935542</x:v>
      </x:c>
      <x:c r="E84" s="40" t="n">
        <x:f>E81*E82*E83</x:f>
        <x:v>63186.60434938141</x:v>
      </x:c>
      <x:c r="F84" s="40" t="n">
        <x:f>F81*F82*F83</x:f>
        <x:v>65811.27810526227</x:v>
      </x:c>
      <x:c r="G84" s="40" t="n">
        <x:f>G81*G82*G83</x:f>
        <x:v>68544.87983360935</x:v>
      </x:c>
    </x:row>
    <x:row r="85">
      <x:c r="A85" t="str">
        <x:v>Cargo &amp; other revenue</x:v>
      </x:c>
      <x:c r="B85" s="40" t="n">
        <x:f>'UAL DCF'!E11</x:f>
        <x:v>5495.7</x:v>
      </x:c>
      <x:c r="C85" s="40" t="n">
        <x:f>'UAL DCF'!F11</x:f>
        <x:v>5743.0064999999995</x:v>
      </x:c>
      <x:c r="D85" s="40" t="n">
        <x:f>'UAL DCF'!G11</x:f>
        <x:v>5972.72676</x:v>
      </x:c>
      <x:c r="E85" s="40" t="n">
        <x:f>'UAL DCF'!H11</x:f>
        <x:v>6211.6358304</x:v>
      </x:c>
      <x:c r="F85" s="40" t="n">
        <x:f>'UAL DCF'!I11</x:f>
        <x:v>6429.043084463999</x:v>
      </x:c>
      <x:c r="G85" s="40" t="n">
        <x:f>'UAL DCF'!J11</x:f>
        <x:v>6654.059592420238</x:v>
      </x:c>
    </x:row>
    <x:row r="86">
      <x:c r="A86" t="str">
        <x:v>Total revenue</x:v>
      </x:c>
      <x:c r="B86" s="40" t="n">
        <x:f>B84+B85</x:f>
        <x:v>60614.04308820261</x:v>
      </x:c>
      <x:c r="C86" s="40" t="n">
        <x:f>C84+C85</x:f>
        <x:v>63708.48529559455</x:v>
      </x:c>
      <x:c r="D86" s="40" t="n">
        <x:f>D84+D85</x:f>
        <x:v>66639.24814935542</x:v>
      </x:c>
      <x:c r="E86" s="40" t="n">
        <x:f>E84+E85</x:f>
        <x:v>69398.24017978141</x:v>
      </x:c>
      <x:c r="F86" s="40" t="n">
        <x:f>F84+F85</x:f>
        <x:v>72240.32118972627</x:v>
      </x:c>
      <x:c r="G86" s="40" t="n">
        <x:f>G84+G85</x:f>
        <x:v>75198.93942602958</x:v>
      </x:c>
    </x:row>
    <x:row r="87">
      <x:c r="A87" t="str">
        <x:v>Fuel price ($/gal)</x:v>
      </x:c>
      <x:c r="B87" s="19" t="n">
        <x:v>2.5</x:v>
      </x:c>
      <x:c r="C87" s="19" t="n">
        <x:v>2.55</x:v>
      </x:c>
      <x:c r="D87" s="19" t="n">
        <x:v>2.6</x:v>
      </x:c>
      <x:c r="E87" s="19" t="n">
        <x:v>2.65</x:v>
      </x:c>
      <x:c r="F87" s="19" t="n">
        <x:v>2.7</x:v>
      </x:c>
      <x:c r="G87" s="19" t="n">
        <x:v>2.75</x:v>
      </x:c>
    </x:row>
    <x:row r="88">
      <x:c r="A88" t="str">
        <x:v>Fuel gallons</x:v>
      </x:c>
      <x:c r="B88" s="40" t="n">
        <x:f>'UAL DCF'!E17</x:f>
        <x:v>4597.5401999999995</x:v>
      </x:c>
      <x:c r="C88" s="40" t="n">
        <x:f>'UAL DCF'!F17</x:f>
        <x:v>4733.627389919999</x:v>
      </x:c>
      <x:c r="D88" s="40" t="n">
        <x:f>'UAL DCF'!G17</x:f>
        <x:v>4850.311305081527</x:v>
      </x:c>
      <x:c r="E88" s="40" t="n">
        <x:f>'UAL DCF'!H17</x:f>
        <x:v>4945.862437791632</x:v>
      </x:c>
      <x:c r="F88" s="40" t="n">
        <x:f>'UAL DCF'!I17</x:f>
        <x:v>5043.295927816128</x:v>
      </x:c>
      <x:c r="G88" s="40" t="n">
        <x:f>'UAL DCF'!J17</x:f>
        <x:v>5142.648857594106</x:v>
      </x:c>
    </x:row>
    <x:row r="89">
      <x:c r="A89" t="str">
        <x:v>Fuel expense</x:v>
      </x:c>
      <x:c r="B89" s="40" t="n">
        <x:f>B87*B88</x:f>
        <x:v>11493.850499999999</x:v>
      </x:c>
      <x:c r="C89" s="40" t="n">
        <x:f>C87*C88</x:f>
        <x:v>12070.749844295995</x:v>
      </x:c>
      <x:c r="D89" s="40" t="n">
        <x:f>D87*D88</x:f>
        <x:v>12610.809393211972</x:v>
      </x:c>
      <x:c r="E89" s="40" t="n">
        <x:f>E87*E88</x:f>
        <x:v>13106.535460147825</x:v>
      </x:c>
      <x:c r="F89" s="40" t="n">
        <x:f>F87*F88</x:f>
        <x:v>13616.899005103547</x:v>
      </x:c>
      <x:c r="G89" s="40" t="n">
        <x:f>G87*G88</x:f>
        <x:v>14142.284358383791</x:v>
      </x:c>
    </x:row>
    <x:row r="90">
      <x:c r="A90" t="str">
        <x:v>Non-fuel opex ex D&amp;A</x:v>
      </x:c>
      <x:c r="B90" s="40" t="n">
        <x:f>'UAL DCF'!E20</x:f>
        <x:v>39155.53867499999</x:v>
      </x:c>
      <x:c r="C90" s="40" t="n">
        <x:f>'UAL DCF'!F20</x:f>
        <x:v>40925.36902310998</x:v>
      </x:c>
      <x:c r="D90" s="40" t="n">
        <x:f>'UAL DCF'!G20</x:f>
        <x:v>42569.54572361342</x:v>
      </x:c>
      <x:c r="E90" s="40" t="n">
        <x:f>'UAL DCF'!H20</x:f>
        <x:v>44065.86525579842</x:v>
      </x:c>
      <x:c r="F90" s="40" t="n">
        <x:f>'UAL DCF'!I20</x:f>
        <x:v>45614.780419539726</x:v>
      </x:c>
      <x:c r="G90" s="40" t="n">
        <x:f>'UAL DCF'!J20</x:f>
        <x:v>47218.13995128655</x:v>
      </x:c>
    </x:row>
    <x:row r="91">
      <x:c r="A91" t="str">
        <x:v>D&amp;A</x:v>
      </x:c>
      <x:c r="B91" s="40" t="n">
        <x:f>'UAL DCF'!E22</x:f>
        <x:v>3090.3575999999994</x:v>
      </x:c>
      <x:c r="C91" s="40" t="n">
        <x:f>'UAL DCF'!F22</x:f>
        <x:v>3246.11162304</x:v>
      </x:c>
      <x:c r="D91" s="40" t="n">
        <x:f>'UAL DCF'!G22</x:f>
        <x:v>3393.3227851448632</x:v>
      </x:c>
      <x:c r="E91" s="40" t="n">
        <x:f>'UAL DCF'!H22</x:f>
        <x:v>3530.073693386201</x:v>
      </x:c>
      <x:c r="F91" s="40" t="n">
        <x:f>'UAL DCF'!I22</x:f>
        <x:v>3672.335663229665</x:v>
      </x:c>
      <x:c r="G91" s="40" t="n">
        <x:f>'UAL DCF'!J22</x:f>
        <x:v>3820.330790457821</x:v>
      </x:c>
    </x:row>
    <x:row r="92">
      <x:c r="A92" t="str">
        <x:v>EBIT</x:v>
      </x:c>
      <x:c r="B92" s="40" t="n">
        <x:f>B86-B89-B90-B91</x:f>
        <x:v>6874.296313202623</x:v>
      </x:c>
      <x:c r="C92" s="40" t="n">
        <x:f>C86-C89-C90-C91</x:f>
        <x:v>7466.254805148579</x:v>
      </x:c>
      <x:c r="D92" s="40" t="n">
        <x:f>D86-D89-D90-D91</x:f>
        <x:v>8065.570247385169</x:v>
      </x:c>
      <x:c r="E92" s="40" t="n">
        <x:f>E86-E89-E90-E91</x:f>
        <x:v>8695.765770448967</x:v>
      </x:c>
      <x:c r="F92" s="40" t="n">
        <x:f>F86-F89-F90-F91</x:f>
        <x:v>9336.306101853324</x:v>
      </x:c>
      <x:c r="G92" s="40" t="n">
        <x:f>G86-G89-G90-G91</x:f>
        <x:v>10018.184325901424</x:v>
      </x:c>
    </x:row>
    <x:row r="93">
      <x:c r="A93" t="str">
        <x:v>Tax rate</x:v>
      </x:c>
      <x:c r="B93" s="45" t="n">
        <x:f>'UAL DCF'!E26</x:f>
        <x:v>0.245</x:v>
      </x:c>
      <x:c r="C93" s="45" t="n">
        <x:f>'UAL DCF'!F26</x:f>
        <x:v>0.245</x:v>
      </x:c>
      <x:c r="D93" s="45" t="n">
        <x:f>'UAL DCF'!G26</x:f>
        <x:v>0.245</x:v>
      </x:c>
      <x:c r="E93" s="45" t="n">
        <x:f>'UAL DCF'!H26</x:f>
        <x:v>0.245</x:v>
      </x:c>
      <x:c r="F93" s="45" t="n">
        <x:f>'UAL DCF'!I26</x:f>
        <x:v>0.245</x:v>
      </x:c>
      <x:c r="G93" s="45" t="n">
        <x:f>'UAL DCF'!J26</x:f>
        <x:v>0.245</x:v>
      </x:c>
    </x:row>
    <x:row r="94">
      <x:c r="A94" t="str">
        <x:v>NOPAT</x:v>
      </x:c>
      <x:c r="B94" s="40" t="n">
        <x:f>B92*(1-B93)</x:f>
        <x:v>5190.093716467981</x:v>
      </x:c>
      <x:c r="C94" s="40" t="n">
        <x:f>C92*(1-C93)</x:f>
        <x:v>5637.022377887178</x:v>
      </x:c>
      <x:c r="D94" s="40" t="n">
        <x:f>D92*(1-D93)</x:f>
        <x:v>6089.505536775802</x:v>
      </x:c>
      <x:c r="E94" s="40" t="n">
        <x:f>E92*(1-E93)</x:f>
        <x:v>6565.3031566889695</x:v>
      </x:c>
      <x:c r="F94" s="40" t="n">
        <x:f>F92*(1-F93)</x:f>
        <x:v>7048.91110689926</x:v>
      </x:c>
      <x:c r="G94" s="40" t="n">
        <x:f>G92*(1-G93)</x:f>
        <x:v>7563.729166055575</x:v>
      </x:c>
    </x:row>
    <x:row r="95">
      <x:c r="A95" t="str">
        <x:v>Capex % revenue</x:v>
      </x:c>
      <x:c r="B95" s="45" t="n">
        <x:f>'UAL DCF'!E28</x:f>
        <x:v>0.11</x:v>
      </x:c>
      <x:c r="C95" s="45" t="n">
        <x:f>'UAL DCF'!F28</x:f>
        <x:v>0.105</x:v>
      </x:c>
      <x:c r="D95" s="45" t="n">
        <x:f>'UAL DCF'!G28</x:f>
        <x:v>0.1</x:v>
      </x:c>
      <x:c r="E95" s="45" t="n">
        <x:f>'UAL DCF'!H28</x:f>
        <x:v>0.095</x:v>
      </x:c>
      <x:c r="F95" s="45" t="n">
        <x:f>'UAL DCF'!I28</x:f>
        <x:v>0.091</x:v>
      </x:c>
      <x:c r="G95" s="45" t="n">
        <x:f>'UAL DCF'!J28</x:f>
        <x:v>0.0885</x:v>
      </x:c>
    </x:row>
    <x:row r="96">
      <x:c r="A96" t="str">
        <x:v>Capex</x:v>
      </x:c>
      <x:c r="B96" s="40" t="n">
        <x:f>B86*B95</x:f>
        <x:v>6667.544739702287</x:v>
      </x:c>
      <x:c r="C96" s="40" t="n">
        <x:f>C86*C95</x:f>
        <x:v>6689.390956037428</x:v>
      </x:c>
      <x:c r="D96" s="40" t="n">
        <x:f>D86*D95</x:f>
        <x:v>6663.924814935543</x:v>
      </x:c>
      <x:c r="E96" s="40" t="n">
        <x:f>E86*E95</x:f>
        <x:v>6592.832817079234</x:v>
      </x:c>
      <x:c r="F96" s="40" t="n">
        <x:f>F86*F95</x:f>
        <x:v>6573.86922826509</x:v>
      </x:c>
      <x:c r="G96" s="40" t="n">
        <x:f>G86*G95</x:f>
        <x:v>6655.106139203617</x:v>
      </x:c>
    </x:row>
    <x:row r="97">
      <x:c r="A97" t="str">
        <x:v>ΔNWC % revenue</x:v>
      </x:c>
      <x:c r="B97" s="45" t="n">
        <x:f>'UAL DCF'!E30</x:f>
        <x:v>-0.004</x:v>
      </x:c>
      <x:c r="C97" s="45" t="n">
        <x:f>'UAL DCF'!F30</x:f>
        <x:v>-0.003</x:v>
      </x:c>
      <x:c r="D97" s="45" t="n">
        <x:f>'UAL DCF'!G30</x:f>
        <x:v>-0.002</x:v>
      </x:c>
      <x:c r="E97" s="45" t="n">
        <x:f>'UAL DCF'!H30</x:f>
        <x:v>-0.001</x:v>
      </x:c>
      <x:c r="F97" s="45" t="n">
        <x:f>'UAL DCF'!I30</x:f>
        <x:v>0</x:v>
      </x:c>
      <x:c r="G97" s="45" t="n">
        <x:f>'UAL DCF'!J30</x:f>
        <x:v>0</x:v>
      </x:c>
    </x:row>
    <x:row r="98">
      <x:c r="A98" t="str">
        <x:v>ΔNWC</x:v>
      </x:c>
      <x:c r="B98" s="40" t="n">
        <x:f>B86*B97</x:f>
        <x:v>-242.45617235281046</x:v>
      </x:c>
      <x:c r="C98" s="40" t="n">
        <x:f>C86*C97</x:f>
        <x:v>-191.12545588678367</x:v>
      </x:c>
      <x:c r="D98" s="40" t="n">
        <x:f>D86*D97</x:f>
        <x:v>-133.27849629871085</x:v>
      </x:c>
      <x:c r="E98" s="40" t="n">
        <x:f>E86*E97</x:f>
        <x:v>-69.39824017978141</x:v>
      </x:c>
      <x:c r="F98" s="40" t="n">
        <x:f>F86*F97</x:f>
        <x:v>0</x:v>
      </x:c>
      <x:c r="G98" s="40" t="n">
        <x:f>G86*G97</x:f>
        <x:v>0</x:v>
      </x:c>
    </x:row>
    <x:row r="99">
      <x:c r="A99" t="str">
        <x:v>UFCF</x:v>
      </x:c>
      <x:c r="B99" s="40" t="n">
        <x:f>B94+B91-B96-B98</x:f>
        <x:v>1855.3627491185043</x:v>
      </x:c>
      <x:c r="C99" s="40" t="n">
        <x:f>C94+C91-C96-C98</x:f>
        <x:v>2384.868500776533</x:v>
      </x:c>
      <x:c r="D99" s="40" t="n">
        <x:f>D94+D91-D96-D98</x:f>
        <x:v>2952.182003283834</x:v>
      </x:c>
      <x:c r="E99" s="40" t="n">
        <x:f>E94+E91-E96-E98</x:f>
        <x:v>3571.942273175718</x:v>
      </x:c>
      <x:c r="F99" s="40" t="n">
        <x:f>F94+F91-F96-F98</x:f>
        <x:v>4147.377541863834</x:v>
      </x:c>
      <x:c r="G99" s="40" t="n">
        <x:f>G94+G91-G96-G98</x:f>
        <x:v>4728.953817309779</x:v>
      </x:c>
    </x:row>
    <x:row r="100">
      <x:c r="A100" t="str">
        <x:v>Discount factor</x:v>
      </x:c>
      <x:c r="B100" s="51" t="n">
        <x:f>(1+$B$7)^1</x:f>
        <x:v>1.09</x:v>
      </x:c>
      <x:c r="C100" s="51" t="n">
        <x:f>(1+$B$7)^2</x:f>
        <x:v>1.1881000000000002</x:v>
      </x:c>
      <x:c r="D100" s="51" t="n">
        <x:f>(1+$B$7)^3</x:f>
        <x:v>1.2950290000000002</x:v>
      </x:c>
      <x:c r="E100" s="51" t="n">
        <x:f>(1+$B$7)^4</x:f>
        <x:v>1.4115816100000005</x:v>
      </x:c>
      <x:c r="F100" s="51" t="n">
        <x:f>(1+$B$7)^5</x:f>
        <x:v>1.5386239549000005</x:v>
      </x:c>
      <x:c r="G100" s="51" t="n">
        <x:f>(1+$B$7)^6</x:f>
        <x:v>1.6771001108410006</x:v>
      </x:c>
    </x:row>
    <x:row r="101">
      <x:c r="A101" t="str">
        <x:v>PV of UFCF</x:v>
      </x:c>
      <x:c r="B101" s="40" t="n">
        <x:f>B99/B100</x:f>
        <x:v>1702.167659741747</x:v>
      </x:c>
      <x:c r="C101" s="40" t="n">
        <x:f>C99/C100</x:f>
        <x:v>2007.296103675223</x:v>
      </x:c>
      <x:c r="D101" s="40" t="n">
        <x:f>D99/D100</x:f>
        <x:v>2279.626173069355</x:v>
      </x:c>
      <x:c r="E101" s="40" t="n">
        <x:f>E99/E100</x:f>
        <x:v>2530.4539587872055</x:v>
      </x:c>
      <x:c r="F101" s="40" t="n">
        <x:f>F99/F100</x:f>
        <x:v>2695.5108352861853</x:v>
      </x:c>
      <x:c r="G101" s="40" t="n">
        <x:f>G99/G100</x:f>
        <x:v>2819.7206515825656</x:v>
      </x:c>
    </x:row>
    <x:row r="102">
      <x:c r="A102" t="str">
        <x:v>Normalized terminal UFCF</x:v>
      </x:c>
      <x:c r="B102" s="40"/>
      <x:c r="C102" s="40"/>
      <x:c r="D102" s="40"/>
      <x:c r="E102" s="40"/>
      <x:c r="F102" s="40"/>
      <x:c r="G102" s="40" t="n">
        <x:f>G94*(1-$C$7/$I$7)*(1+$C$7)</x:f>
        <x:v>5814.616796405223</x:v>
      </x:c>
    </x:row>
    <x:row r="103">
      <x:c r="A103" t="str">
        <x:v>Terminal value</x:v>
      </x:c>
      <x:c r="B103" s="40"/>
      <x:c r="C103" s="40"/>
      <x:c r="D103" s="40"/>
      <x:c r="E103" s="40"/>
      <x:c r="F103" s="40"/>
      <x:c r="G103" s="40" t="n">
        <x:f>G102/($B$7-$C$7)</x:f>
        <x:v>89455.64302161882</x:v>
      </x:c>
    </x:row>
    <x:row r="104">
      <x:c r="A104" t="str">
        <x:v>PV of terminal value</x:v>
      </x:c>
      <x:c r="B104" s="40"/>
      <x:c r="C104" s="40"/>
      <x:c r="D104" s="40"/>
      <x:c r="E104" s="40"/>
      <x:c r="F104" s="40"/>
      <x:c r="G104" s="40" t="n">
        <x:f>G103/G100</x:f>
        <x:v>53339.47713876203</x:v>
      </x:c>
    </x:row>
    <x:row r="105">
      <x:c r="A105" s="55" t="str">
        <x:v>Enterprise value</x:v>
      </x:c>
      <x:c r="B105" s="66"/>
      <x:c r="C105" s="66"/>
      <x:c r="D105" s="66"/>
      <x:c r="E105" s="66"/>
      <x:c r="F105" s="66"/>
      <x:c r="G105" s="66" t="n">
        <x:f>SUM(B101:G101)+G104</x:f>
        <x:v>67374.25252090431</x:v>
      </x:c>
    </x:row>
    <x:row r="106">
      <x:c r="A106" s="55" t="str">
        <x:v>Lease- and pension-adjusted net debt</x:v>
      </x:c>
      <x:c r="B106" s="66"/>
      <x:c r="C106" s="66"/>
      <x:c r="D106" s="66"/>
      <x:c r="E106" s="66"/>
      <x:c r="F106" s="66"/>
      <x:c r="G106" s="66" t="n">
        <x:f>'UAL Inputs'!B42</x:f>
        <x:v>18369</x:v>
      </x:c>
    </x:row>
    <x:row r="107">
      <x:c r="A107" s="55" t="str">
        <x:v>Equity value</x:v>
      </x:c>
      <x:c r="B107" s="66"/>
      <x:c r="C107" s="66"/>
      <x:c r="D107" s="66"/>
      <x:c r="E107" s="66"/>
      <x:c r="F107" s="66"/>
      <x:c r="G107" s="66" t="n">
        <x:f>G105-G106</x:f>
        <x:v>49005.25252090431</x:v>
      </x:c>
    </x:row>
    <x:row r="108">
      <x:c r="A108" s="55" t="str">
        <x:v>Diluted shares</x:v>
      </x:c>
      <x:c r="B108" s="66"/>
      <x:c r="C108" s="66"/>
      <x:c r="D108" s="66"/>
      <x:c r="E108" s="66"/>
      <x:c r="F108" s="66"/>
      <x:c r="G108" s="66" t="n">
        <x:f>'UAL Inputs'!B39</x:f>
        <x:v>323.732094</x:v>
      </x:c>
    </x:row>
    <x:row r="109">
      <x:c r="A109" s="55" t="str">
        <x:v>Implied value per share</x:v>
      </x:c>
      <x:c r="B109" s="66"/>
      <x:c r="C109" s="66"/>
      <x:c r="D109" s="66"/>
      <x:c r="E109" s="66"/>
      <x:c r="F109" s="66"/>
      <x:c r="G109" s="67" t="n">
        <x:f>G107/G108</x:f>
        <x:v>151.37594767142335</x:v>
      </x:c>
    </x:row>
    <x:row r="110">
      <x:c r="A110" s="55" t="str">
        <x:v>Upside vs. market</x:v>
      </x:c>
      <x:c r="B110" s="66"/>
      <x:c r="C110" s="66"/>
      <x:c r="D110" s="66"/>
      <x:c r="E110" s="66"/>
      <x:c r="F110" s="66"/>
      <x:c r="G110" s="68" t="n">
        <x:f>G109/'UAL Inputs'!B40-1</x:f>
        <x:v>0.44167569210879387</x:v>
      </x:c>
    </x:row>
  </x:sheetData>
  <x:mergeCells>
    <x:mergeCell ref="A1:H1"/>
    <x:mergeCell ref="A2:H2"/>
    <x:mergeCell ref="A11:G11"/>
    <x:mergeCell ref="A45:G45"/>
    <x:mergeCell ref="A79:G79"/>
    <x:mergeCell ref="A9:I9"/>
  </x:mergeCells>
  <x:pageMargins left="0.7" right="0.7" top="0.75" bottom="0.75" header="0.3" footer="0.3"/>
  <x:legacyDrawing xmlns:r="http://schemas.openxmlformats.org/officeDocument/2006/relationships" r:id="R07bca631ef56484e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16" hidden="0" customWidth="1"/>
    <x:col min="4" max="4" width="16" hidden="0" customWidth="1"/>
    <x:col min="5" max="5" width="14" hidden="0" customWidth="1"/>
  </x:cols>
  <x:sheetData>
    <x:row r="1" ht="28" customHeight="1">
      <x:c r="A1" s="3" t="str">
        <x:v>Model Integrity Checks</x:v>
      </x:c>
      <x:c r="B1" s="3"/>
      <x:c r="C1" s="3"/>
      <x:c r="D1" s="3"/>
      <x:c r="E1" s="3"/>
    </x:row>
    <x:row r="3">
      <x:c r="A3" s="14" t="str">
        <x:v>Area</x:v>
      </x:c>
      <x:c r="B3" s="14" t="str">
        <x:v>Check</x:v>
      </x:c>
      <x:c r="C3" s="14" t="str">
        <x:v>Difference</x:v>
      </x:c>
      <x:c r="D3" s="14" t="str">
        <x:v>Tolerance</x:v>
      </x:c>
      <x:c r="E3" s="14" t="str">
        <x:v>Status</x:v>
      </x:c>
    </x:row>
    <x:row r="4">
      <x:c r="A4" t="str">
        <x:v>UAL actuals</x:v>
      </x:c>
      <x:c r="B4" t="str">
        <x:v>2024 revenue components tie</x:v>
      </x:c>
      <x:c r="C4" s="53" t="n">
        <x:f>'UAL Inputs'!D6+'UAL Inputs'!D7+'UAL Inputs'!D8-'UAL Inputs'!D9</x:f>
        <x:v>0</x:v>
      </x:c>
      <x:c r="D4" s="53" t="n">
        <x:v>0.1</x:v>
      </x:c>
      <x:c r="E4" s="91" t="str">
        <x:f>IF(ABS(C4)&lt;=D4,"PASS","CHECK")</x:f>
        <x:v>PASS</x:v>
      </x:c>
    </x:row>
    <x:row r="5">
      <x:c r="A5" t="str">
        <x:v>UAL actuals</x:v>
      </x:c>
      <x:c r="B5" t="str">
        <x:v>2024 opex build ties</x:v>
      </x:c>
      <x:c r="C5" s="53" t="n">
        <x:f>'UAL Inputs'!D10+'UAL Inputs'!D11+'UAL Inputs'!D26-'UAL Inputs'!D12</x:f>
        <x:v>0</x:v>
      </x:c>
      <x:c r="D5" s="53" t="n">
        <x:v>0.1</x:v>
      </x:c>
      <x:c r="E5" s="91" t="str">
        <x:f>IF(ABS(C5)&lt;=D5,"PASS","CHECK")</x:f>
        <x:v>PASS</x:v>
      </x:c>
    </x:row>
    <x:row r="6">
      <x:c r="A6" t="str">
        <x:v>UAL DCF</x:v>
      </x:c>
      <x:c r="B6" t="str">
        <x:v>Normalized terminal UFCF ties</x:v>
      </x:c>
      <x:c r="C6" s="53" t="n">
        <x:f>'UAL DCF'!B38-('UAL DCF'!J27*(1-'UAL Inputs'!G61/'UAL Inputs'!G62)*(1+'UAL Inputs'!G61))</x:f>
        <x:v>0</x:v>
      </x:c>
      <x:c r="D6" s="53" t="n">
        <x:v>0.01</x:v>
      </x:c>
      <x:c r="E6" s="91" t="str">
        <x:f>IF(ABS(C6)&lt;=D6,"PASS","CHECK")</x:f>
        <x:v>PASS</x:v>
      </x:c>
    </x:row>
    <x:row r="7">
      <x:c r="A7" t="str">
        <x:v>UAL DCF</x:v>
      </x:c>
      <x:c r="B7" t="str">
        <x:v>WACC exceeds terminal growth</x:v>
      </x:c>
      <x:c r="C7" s="53" t="n">
        <x:f>'UAL Inputs'!G60-'UAL Inputs'!G61</x:f>
        <x:v>0.065</x:v>
      </x:c>
      <x:c r="D7" s="53" t="n">
        <x:v>0.001</x:v>
      </x:c>
      <x:c r="E7" s="91" t="str">
        <x:f>IF(C7&gt;D7,"PASS","CHECK")</x:f>
        <x:v>PASS</x:v>
      </x:c>
    </x:row>
    <x:row r="8">
      <x:c r="A8" t="str">
        <x:v>UAL scenarios</x:v>
      </x:c>
      <x:c r="B8" t="str">
        <x:v>Base scenario ties DCF EV</x:v>
      </x:c>
      <x:c r="C8" s="53" t="n">
        <x:f>'UAL Scenarios'!D6-'UAL DCF'!B41</x:f>
        <x:v>1.4551915228366852e-11</x:v>
      </x:c>
      <x:c r="D8" s="53" t="n">
        <x:v>0.1</x:v>
      </x:c>
      <x:c r="E8" s="91" t="str">
        <x:f>IF(ABS(C8)&lt;=D8,"PASS","CHECK")</x:f>
        <x:v>PASS</x:v>
      </x:c>
    </x:row>
    <x:row r="9">
      <x:c r="A9" t="str">
        <x:v>UAL scenarios</x:v>
      </x:c>
      <x:c r="B9" t="str">
        <x:v>Bear implied price &lt; Base</x:v>
      </x:c>
      <x:c r="C9" s="53" t="n">
        <x:f>'UAL Scenarios'!F6-'UAL Scenarios'!F5</x:f>
        <x:v>30.33036652531048</x:v>
      </x:c>
      <x:c r="D9" s="53" t="n">
        <x:v>0.01</x:v>
      </x:c>
      <x:c r="E9" s="91" t="str">
        <x:f>IF(C9&gt;D9,"PASS","CHECK")</x:f>
        <x:v>PASS</x:v>
      </x:c>
    </x:row>
    <x:row r="10">
      <x:c r="A10" t="str">
        <x:v>UAL scenarios</x:v>
      </x:c>
      <x:c r="B10" t="str">
        <x:v>Bull implied price &gt; Base</x:v>
      </x:c>
      <x:c r="C10" s="53" t="n">
        <x:f>'UAL Scenarios'!F7-'UAL Scenarios'!F6</x:f>
        <x:v>30.330366525310637</x:v>
      </x:c>
      <x:c r="D10" s="53" t="n">
        <x:v>0.01</x:v>
      </x:c>
      <x:c r="E10" s="91" t="str">
        <x:f>IF(C10&gt;D10,"PASS","CHECK")</x:f>
        <x:v>PASS</x:v>
      </x:c>
    </x:row>
    <x:row r="11">
      <x:c r="A11" s="178" t="str">
        <x:v>WACC</x:v>
      </x:c>
      <x:c r="B11" s="178" t="str">
        <x:v>Selected WACC ties DCF input</x:v>
      </x:c>
      <x:c r="C11" s="180" t="n">
        <x:f>'WACC Build'!B17-'UAL Inputs'!B60</x:f>
        <x:v>0</x:v>
      </x:c>
      <x:c r="D11" s="180" t="n">
        <x:v>0.0001</x:v>
      </x:c>
      <x:c r="E11" s="178" t="str">
        <x:f>IF(ABS(C11)&lt;=D11,"PASS","CHECK")</x:f>
        <x:v>PASS</x:v>
      </x:c>
    </x:row>
    <x:row r="12">
      <x:c r="A12" s="179" t="str">
        <x:v>Sensitivity</x:v>
      </x:c>
      <x:c r="B12" s="179" t="str">
        <x:v>Base sensitivity ties DCF value</x:v>
      </x:c>
      <x:c r="C12" s="181" t="n">
        <x:f>'UAL Sensitivity'!C7-'UAL DCF'!B46</x:f>
        <x:v>0</x:v>
      </x:c>
      <x:c r="D12" s="181" t="n">
        <x:v>0.01</x:v>
      </x:c>
      <x:c r="E12" s="179" t="str">
        <x:f>IF(ABS(C12)&lt;=D12,"PASS","CHECK")</x:f>
        <x:v>PASS</x:v>
      </x:c>
    </x:row>
    <x:row r="13">
      <x:c r="A13" s="198" t="str">
        <x:v>UAL scenarios</x:v>
      </x:c>
      <x:c r="B13" s="198" t="str">
        <x:v>Bear case is below market price</x:v>
      </x:c>
      <x:c r="C13" s="199" t="n">
        <x:f>'UAL Scenarios'!F5-'UAL Inputs'!B40</x:f>
        <x:v>-14.284785379197771</x:v>
      </x:c>
      <x:c r="D13" s="199" t="n">
        <x:v>0</x:v>
      </x:c>
      <x:c r="E13" s="198" t="str">
        <x:f>IF(C13&lt;0,"PASS","CHECK")</x:f>
        <x:v>PASS</x:v>
      </x:c>
    </x:row>
    <x:row r="14" ht="45" customHeight="1">
      <x:c r="A14" s="154" t="str">
        <x:v>All checks should read PASS before use. Operating scenarios isolate load-factor and fuel-price risk at constant valuation assumptions; the WACC/TGR grid is a separate valuation-input sensitivity. The equity bridge shows both standard and lease-/pension-adjusted net debt.</x:v>
      </x:c>
      <x:c r="B14" s="154"/>
      <x:c r="C14" s="154"/>
      <x:c r="D14" s="154"/>
      <x:c r="E14" s="154"/>
    </x:row>
  </x:sheetData>
  <x:mergeCells count="2">
    <x:mergeCell ref="A1:E1"/>
    <x:mergeCell ref="A14:E14"/>
  </x:mergeCells>
  <x:conditionalFormatting sqref="E11:E12">
    <x:cfRule type="expression" dxfId="0" priority="1">
      <x:formula>E11="PASS"</x:formula>
    </x:cfRule>
    <x:cfRule type="expression" dxfId="1" priority="2">
      <x:formula>E11="CHECK"</x:formula>
    </x:cfRule>
  </x:conditionalFormatting>
  <x:conditionalFormatting sqref="E13:E13">
    <x:cfRule type="expression" dxfId="2" priority="3">
      <x:formula>E13="PASS"</x:formula>
    </x:cfRule>
    <x:cfRule type="expression" dxfId="3" priority="4">
      <x:formula>E13="CHECK"</x:formula>
    </x:cfRule>
    <x:cfRule type="expression" dxfId="4" priority="5">
      <x:formula>E13="PASS"</x:formula>
    </x:cfRule>
    <x:cfRule type="expression" dxfId="5" priority="6">
      <x:formula>E13="CHECK"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68" hidden="0" customWidth="1"/>
    <x:col min="3" max="3" width="46" hidden="0" customWidth="1"/>
    <x:col min="4" max="4" width="19" hidden="0" customWidth="1"/>
    <x:col min="5" max="5" width="19" hidden="0" customWidth="1"/>
  </x:cols>
  <x:sheetData>
    <x:row r="1" ht="28" customHeight="1">
      <x:c r="A1" s="3" t="str">
        <x:v>Primary Sources &amp; Model Notes</x:v>
      </x:c>
      <x:c r="B1" s="3"/>
      <x:c r="C1" s="3"/>
      <x:c r="D1" s="3"/>
      <x:c r="E1" s="3"/>
    </x:row>
    <x:row r="3">
      <x:c r="A3" s="14" t="str">
        <x:v>Source</x:v>
      </x:c>
      <x:c r="B3" s="14" t="str">
        <x:v>URL</x:v>
      </x:c>
      <x:c r="C3" s="14" t="str">
        <x:v>Data used</x:v>
      </x:c>
      <x:c r="D3" s="14" t="str">
        <x:v>Period / date</x:v>
      </x:c>
      <x:c r="E3" s="14" t="str">
        <x:v>Accessed</x:v>
      </x:c>
    </x:row>
    <x:row r="4">
      <x:c r="A4" s="29" t="str">
        <x:v>United Airlines 2024 Form 10-K</x:v>
      </x:c>
      <x:c r="B4" s="92" t="str">
        <x:v>https://www.sec.gov/Archives/edgar/data/100517/000010051725000046/ual-20241231.htm</x:v>
      </x:c>
      <x:c r="C4" s="29" t="str">
        <x:v>Historical financials, operating statistics, balance-sheet bridge</x:v>
      </x:c>
      <x:c r="D4" s="29" t="str">
        <x:v>FY2022–FY2024</x:v>
      </x:c>
      <x:c r="E4" s="29" t="str">
        <x:v>2026-09-01</x:v>
      </x:c>
    </x:row>
    <x:row r="5">
      <x:c r="A5" s="29" t="str">
        <x:v>United Airlines historical price lookup</x:v>
      </x:c>
      <x:c r="B5" s="92" t="str">
        <x:v>https://ir.united.com/stock/historical-price-lookup/</x:v>
      </x:c>
      <x:c r="C5" s="29" t="str">
        <x:v>UAL closing price of $105.00</x:v>
      </x:c>
      <x:c r="D5" s="29" t="str">
        <x:v>2025-08-29</x:v>
      </x:c>
      <x:c r="E5" s="29" t="str">
        <x:v>2026-09-01</x:v>
      </x:c>
    </x:row>
    <x:row r="6" ht="39" customHeight="1">
      <x:c r="A6" s="188" t="str">
        <x:v>United Airlines Q2 2025 Form 10-Q</x:v>
      </x:c>
      <x:c r="B6" s="190" t="str">
        <x:v>https://www.sec.gov/Archives/edgar/data/319687/000010051725000147/ual-20250630.htm</x:v>
      </x:c>
      <x:c r="C6" s="188" t="str">
        <x:v>Cash, short-term investments, debt, lease liabilities, pension liability, shares outstanding</x:v>
      </x:c>
      <x:c r="D6" s="188" t="str">
        <x:v>2025-06-30 / 2025-07-10</x:v>
      </x:c>
      <x:c r="E6" s="188" t="str">
        <x:v>2026-09-01</x:v>
      </x:c>
    </x:row>
    <x:row r="7" ht="39" customHeight="1">
      <x:c r="A7" s="188" t="str">
        <x:v>U.S. Treasury daily yield curve</x:v>
      </x:c>
      <x:c r="B7" s="190" t="str">
        <x:v>https://home.treasury.gov/resource-center/data-chart-center/interest-rates/daily-treasury-rates.csv/2025/all?_format=csv&amp;field_tdr_date_value=2025&amp;page=&amp;type=daily_treasury_yield_curve</x:v>
      </x:c>
      <x:c r="C7" s="188" t="str">
        <x:v>10-year Treasury yield of 4.23%</x:v>
      </x:c>
      <x:c r="D7" s="188" t="str">
        <x:v>2025-08-29</x:v>
      </x:c>
      <x:c r="E7" s="188" t="str">
        <x:v>2026-09-01</x:v>
      </x:c>
    </x:row>
    <x:row r="8" ht="39" customHeight="1">
      <x:c r="A8" s="189" t="str">
        <x:v>Damodaran archived beta dataset</x:v>
      </x:c>
      <x:c r="B8" s="191" t="str">
        <x:v>https://pages.stern.nyu.edu/~adamodar/pc/archives/betas24.xls</x:v>
      </x:c>
      <x:c r="C8" s="189" t="str">
        <x:v>Air Transport industry beta cross-check and methodology</x:v>
      </x:c>
      <x:c r="D8" s="189" t="str">
        <x:v>Archive dated 2025-01</x:v>
      </x:c>
      <x:c r="E8" s="189" t="str">
        <x:v>2026-09-01</x:v>
      </x:c>
    </x:row>
    <x:row r="9" ht="39" customHeight="1">
      <x:c r="A9" s="189" t="str">
        <x:v>Damodaran historical returns dataset</x:v>
      </x:c>
      <x:c r="B9" s="191" t="str">
        <x:v>https://pages.stern.nyu.edu/~adamodar/pc/datasets/histretSP.xls</x:v>
      </x:c>
      <x:c r="C9" s="189" t="str">
        <x:v>Long-run stock-versus-bond return premium cross-check</x:v>
      </x:c>
      <x:c r="D9" s="189" t="str">
        <x:v>1928–2025 dataset</x:v>
      </x:c>
      <x:c r="E9" s="189" t="str">
        <x:v>2026-09-01</x:v>
      </x:c>
    </x:row>
    <x:row r="10" ht="39" customHeight="1">
      <x:c r="A10" s="189" t="str">
        <x:v>Damodaran historical implied ERP</x:v>
      </x:c>
      <x:c r="B10" s="191" t="str">
        <x:v>https://pages.stern.nyu.edu/~adamodar/New_Home_Page/datafile/histimpl.html</x:v>
      </x:c>
      <x:c r="C10" s="189" t="str">
        <x:v>January 2025 implied ERP cross-check</x:v>
      </x:c>
      <x:c r="D10" s="189" t="str">
        <x:v>2025-01</x:v>
      </x:c>
      <x:c r="E10" s="189" t="str">
        <x:v>2026-09-01</x:v>
      </x:c>
    </x:row>
    <x:row r="11" ht="39" customHeight="1">
      <x:c r="A11" s="189" t="str">
        <x:v>Yahoo Finance chart data</x:v>
      </x:c>
      <x:c r="B11" s="191" t="str">
        <x:v>https://query2.finance.yahoo.com/v8/finance/chart/UAL</x:v>
      </x:c>
      <x:c r="C11" s="189" t="str">
        <x:v>Weekly adjusted-price series for UAL/DAL/AAL/LUV/ALK and SPY beta regressions</x:v>
      </x:c>
      <x:c r="D11" s="189" t="str">
        <x:v>2020-08-30 to 2025-08-29</x:v>
      </x:c>
      <x:c r="E11" s="189" t="str">
        <x:v>2026-09-01</x:v>
      </x:c>
    </x:row>
    <x:row r="12">
      <x:c r="A12" s="95"/>
      <x:c r="B12" s="95"/>
      <x:c r="C12" s="95"/>
      <x:c r="D12" s="95"/>
      <x:c r="E12" s="95"/>
    </x:row>
    <x:row r="13">
      <x:c r="A13" s="183" t="str">
        <x:v>Interpretation &amp; Limitations</x:v>
      </x:c>
      <x:c r="B13" s="183"/>
      <x:c r="C13" s="183"/>
      <x:c r="D13" s="183"/>
      <x:c r="E13" s="183"/>
    </x:row>
    <x:row r="14" ht="30" customHeight="1">
      <x:c r="A14" s="155" t="str">
        <x:v>Interpretation: forecast assumptions are analytical inputs, not management guidance. The operating scenarios vary load factor and fuel price while holding WACC, terminal growth, and terminal ROIC constant. The 6.0% ERP is a conservative normalized assumption; it is not presented as a point-in-time quoted ERP. The equity bridge uses $18.369B of lease- and pension-adjusted net debt; standard net debt is $11.463B.</x:v>
      </x:c>
      <x:c r="B14" s="155"/>
      <x:c r="C14" s="155"/>
      <x:c r="D14" s="155"/>
      <x:c r="E14" s="155"/>
    </x:row>
    <x:row r="15" ht="30" customHeight="1">
      <x:c r="A15" s="155"/>
      <x:c r="B15" s="155"/>
      <x:c r="C15" s="155"/>
      <x:c r="D15" s="155"/>
      <x:c r="E15" s="155"/>
    </x:row>
  </x:sheetData>
  <x:mergeCells count="3">
    <x:mergeCell ref="A1:E1"/>
    <x:mergeCell ref="A13:E13"/>
    <x:mergeCell ref="A14:E15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5" hidden="0" customWidth="1"/>
    <x:col min="3" max="3" width="38" hidden="0" customWidth="1"/>
    <x:col min="4" max="4" width="3" hidden="0" customWidth="1"/>
    <x:col min="5" max="5" width="31" hidden="0" customWidth="1"/>
    <x:col min="6" max="6" width="16" hidden="0" customWidth="1"/>
  </x:cols>
  <x:sheetData>
    <x:row r="1" ht="25" customHeight="1">
      <x:c r="A1" s="133" t="str">
        <x:v>United Airlines — Cost of Capital Build</x:v>
      </x:c>
      <x:c r="B1" s="133"/>
      <x:c r="C1" s="133"/>
      <x:c r="D1" s="133"/>
      <x:c r="E1" s="133"/>
      <x:c r="F1" s="133"/>
    </x:row>
    <x:row r="2">
      <x:c r="A2" s="135" t="str">
        <x:v>Valuation date: August 29, 2025 | $ in millions except rates and beta | Rounded selected WACC shown separately from formulaic output</x:v>
      </x:c>
      <x:c r="B2" s="135"/>
      <x:c r="C2" s="135"/>
      <x:c r="D2" s="135"/>
      <x:c r="E2" s="135"/>
      <x:c r="F2" s="135"/>
    </x:row>
    <x:row r="4">
      <x:c r="A4" s="137" t="str">
        <x:v>Market Inputs &amp; Cost of Capital</x:v>
      </x:c>
      <x:c r="B4" s="137"/>
      <x:c r="C4" s="137"/>
    </x:row>
    <x:row r="5">
      <x:c r="A5" s="156" t="str">
        <x:v>Risk-free rate</x:v>
      </x:c>
      <x:c r="B5" s="139" t="n">
        <x:v>0.0423</x:v>
      </x:c>
      <x:c r="C5" s="161" t="str">
        <x:v>10-year U.S. Treasury, Aug. 29, 2025</x:v>
      </x:c>
    </x:row>
    <x:row r="6">
      <x:c r="A6" s="156" t="str">
        <x:v>Normalized equity risk premium</x:v>
      </x:c>
      <x:c r="B6" s="139" t="n">
        <x:v>0.06</x:v>
      </x:c>
      <x:c r="C6" s="161" t="str">
        <x:v>Analyst-selected normalized premium</x:v>
      </x:c>
    </x:row>
    <x:row r="7">
      <x:c r="A7" s="156" t="str">
        <x:v>Selected levered beta</x:v>
      </x:c>
      <x:c r="B7" s="140" t="n">
        <x:v>1.324</x:v>
      </x:c>
      <x:c r="C7" s="161" t="str">
        <x:v>UAL 5-year weekly regression vs. SPY</x:v>
      </x:c>
    </x:row>
    <x:row r="8">
      <x:c r="A8" s="156" t="str">
        <x:v>Cost of equity</x:v>
      </x:c>
      <x:c r="B8" s="141" t="n">
        <x:f>B5+B6*B7</x:f>
        <x:v>0.12173999999999999</x:v>
      </x:c>
      <x:c r="C8" s="161" t="str">
        <x:v>CAPM</x:v>
      </x:c>
    </x:row>
    <x:row r="9">
      <x:c r="A9" s="156" t="str">
        <x:v>Pre-tax cost of debt</x:v>
      </x:c>
      <x:c r="B9" s="141" t="n">
        <x:f>F26</x:f>
        <x:v>0.061542542608926325</x:v>
      </x:c>
      <x:c r="C9" s="161" t="str">
        <x:v>2024 interest burden / average debt</x:v>
      </x:c>
    </x:row>
    <x:row r="10">
      <x:c r="A10" s="156" t="str">
        <x:v>Tax rate</x:v>
      </x:c>
      <x:c r="B10" s="139" t="n">
        <x:v>0.245</x:v>
      </x:c>
      <x:c r="C10" s="161" t="str">
        <x:v>Model tax rate</x:v>
      </x:c>
    </x:row>
    <x:row r="11">
      <x:c r="A11" s="156" t="str">
        <x:v>After-tax cost of debt</x:v>
      </x:c>
      <x:c r="B11" s="141" t="n">
        <x:f>B9*(1-B10)</x:f>
        <x:v>0.046464619669739374</x:v>
      </x:c>
      <x:c r="C11" s="161" t="str">
        <x:v>Pre-tax cost × (1 − tax rate)</x:v>
      </x:c>
    </x:row>
    <x:row r="12">
      <x:c r="A12" s="156" t="str">
        <x:v>Market equity</x:v>
      </x:c>
      <x:c r="B12" s="28" t="n">
        <x:f>'UAL Inputs'!B43</x:f>
        <x:v>33991.86987</x:v>
      </x:c>
      <x:c r="C12" s="161" t="str">
        <x:v>Market price × shares outstanding</x:v>
      </x:c>
    </x:row>
    <x:row r="13">
      <x:c r="A13" s="156" t="str">
        <x:v>Debt / finance liabilities</x:v>
      </x:c>
      <x:c r="B13" s="28" t="n">
        <x:f>'UAL Inputs'!B35+'UAL Inputs'!B36</x:f>
        <x:v>27079</x:v>
      </x:c>
      <x:c r="C13" s="161" t="str">
        <x:v>Q2 2025 debt and finance leases</x:v>
      </x:c>
    </x:row>
    <x:row r="14">
      <x:c r="A14" s="156" t="str">
        <x:v>Equity weight</x:v>
      </x:c>
      <x:c r="B14" s="141" t="n">
        <x:f>B12/(B12+B13)</x:f>
        <x:v>0.5565971131958268</x:v>
      </x:c>
      <x:c r="C14" s="161" t="str">
        <x:v>E / (D + E)</x:v>
      </x:c>
    </x:row>
    <x:row r="15">
      <x:c r="A15" s="156" t="str">
        <x:v>Debt weight</x:v>
      </x:c>
      <x:c r="B15" s="141" t="n">
        <x:f>B13/(B12+B13)</x:f>
        <x:v>0.44340288680417317</x:v>
      </x:c>
      <x:c r="C15" s="161" t="str">
        <x:v>D / (D + E)</x:v>
      </x:c>
    </x:row>
    <x:row r="16">
      <x:c r="A16" s="156" t="str">
        <x:v>Formulaic WACC</x:v>
      </x:c>
      <x:c r="B16" s="141" t="n">
        <x:f>B8*B14+B11*B15</x:f>
        <x:v>0.08836267905628037</x:v>
      </x:c>
      <x:c r="C16" s="161" t="str">
        <x:v>Ke × E/V + Kd after tax × D/V</x:v>
      </x:c>
    </x:row>
    <x:row r="17">
      <x:c r="A17" s="144" t="str">
        <x:v>Selected WACC</x:v>
      </x:c>
      <x:c r="B17" s="145" t="n">
        <x:f>ROUND(B16*200,0)/200</x:f>
        <x:v>0.09</x:v>
      </x:c>
      <x:c r="C17" s="163" t="str">
        <x:v>Rounded to nearest 0.5%</x:v>
      </x:c>
    </x:row>
    <x:row r="18">
      <x:c r="A18" s="156" t="str">
        <x:v>WACC–TGR spread</x:v>
      </x:c>
      <x:c r="B18" s="141" t="n">
        <x:f>B17-'UAL Inputs'!B61</x:f>
        <x:v>0.065</x:v>
      </x:c>
      <x:c r="C18" s="161" t="str">
        <x:v>Selected WACC less 2.5% TGR</x:v>
      </x:c>
    </x:row>
    <x:row r="20">
      <x:c r="A20" s="137" t="str">
        <x:v>Airline Beta Cross-Check</x:v>
      </x:c>
      <x:c r="B20" s="137"/>
      <x:c r="C20" s="137"/>
      <x:c r="E20" s="137" t="str">
        <x:v>Cost of Debt Support</x:v>
      </x:c>
      <x:c r="F20" s="137"/>
    </x:row>
    <x:row r="21">
      <x:c r="A21" s="151" t="str">
        <x:v>Ticker</x:v>
      </x:c>
      <x:c r="B21" s="151" t="str">
        <x:v>Levered beta</x:v>
      </x:c>
      <x:c r="C21" s="151" t="str">
        <x:v>Method</x:v>
      </x:c>
      <x:c r="E21" t="str">
        <x:v>2023 debt / finance liabilities</x:v>
      </x:c>
      <x:c r="F21" s="28" t="n">
        <x:v>31660</x:v>
      </x:c>
    </x:row>
    <x:row r="22">
      <x:c r="A22" t="str">
        <x:v>UAL</x:v>
      </x:c>
      <x:c r="B22" s="51" t="n">
        <x:v>1.324</x:v>
      </x:c>
      <x:c r="C22" t="str">
        <x:v>5-year weekly vs. SPY</x:v>
      </x:c>
      <x:c r="E22" t="str">
        <x:v>2024 debt / finance liabilities</x:v>
      </x:c>
      <x:c r="F22" s="28" t="n">
        <x:v>28656</x:v>
      </x:c>
    </x:row>
    <x:row r="23">
      <x:c r="A23" t="str">
        <x:v>DAL</x:v>
      </x:c>
      <x:c r="B23" s="51" t="n">
        <x:v>1.25</x:v>
      </x:c>
      <x:c r="C23" t="str">
        <x:v>5-year weekly vs. SPY</x:v>
      </x:c>
      <x:c r="E23" t="str">
        <x:v>Average debt</x:v>
      </x:c>
      <x:c r="F23" s="77" t="n">
        <x:f>AVERAGE(F21:F22)</x:f>
        <x:v>30158</x:v>
      </x:c>
    </x:row>
    <x:row r="24">
      <x:c r="A24" t="str">
        <x:v>AAL</x:v>
      </x:c>
      <x:c r="B24" s="51" t="n">
        <x:v>1.192</x:v>
      </x:c>
      <x:c r="C24" t="str">
        <x:v>5-year weekly vs. SPY</x:v>
      </x:c>
      <x:c r="E24" t="str">
        <x:v>2024 interest expense</x:v>
      </x:c>
      <x:c r="F24" s="28" t="n">
        <x:v>1629</x:v>
      </x:c>
    </x:row>
    <x:row r="25">
      <x:c r="A25" t="str">
        <x:v>LUV</x:v>
      </x:c>
      <x:c r="B25" s="51" t="n">
        <x:v>0.963</x:v>
      </x:c>
      <x:c r="C25" t="str">
        <x:v>5-year weekly vs. SPY</x:v>
      </x:c>
      <x:c r="E25" t="str">
        <x:v>2024 capitalized interest</x:v>
      </x:c>
      <x:c r="F25" s="28" t="n">
        <x:v>227</x:v>
      </x:c>
    </x:row>
    <x:row r="26">
      <x:c r="A26" t="str">
        <x:v>ALK</x:v>
      </x:c>
      <x:c r="B26" s="51" t="n">
        <x:v>0.98</x:v>
      </x:c>
      <x:c r="C26" t="str">
        <x:v>5-year weekly vs. SPY</x:v>
      </x:c>
      <x:c r="E26" t="str">
        <x:v>Pre-tax cost of debt</x:v>
      </x:c>
      <x:c r="F26" s="138" t="n">
        <x:f>(F24+F25)/F23</x:f>
        <x:v>0.061542542608926325</x:v>
      </x:c>
    </x:row>
    <x:row r="27">
      <x:c r="A27" t="str">
        <x:v>Peer median</x:v>
      </x:c>
      <x:c r="B27" s="51" t="n">
        <x:f>MEDIAN(B22:B26)</x:f>
        <x:v>1.192</x:v>
      </x:c>
      <x:c r="C27" t="str">
        <x:v>Cross-check only</x:v>
      </x:c>
    </x:row>
    <x:row r="29">
      <x:c r="A29" s="155" t="str">
        <x:v>Interpretation: The 6.0% ERP is a conservative normalized assumption rather than a point-in-time market quote. The formulaic result is 8.84%; 9.0% is selected for the DCF. Operating leases are excluded from WACC debt weights because rent remains in EBIT, but lease and pension liabilities are included in the equity-value bridge.</x:v>
      </x:c>
      <x:c r="B29" s="155"/>
      <x:c r="C29" s="155"/>
      <x:c r="D29" s="155"/>
      <x:c r="E29" s="155"/>
      <x:c r="F29" s="155"/>
    </x:row>
    <x:row r="30">
      <x:c r="A30" s="155"/>
      <x:c r="B30" s="155"/>
      <x:c r="C30" s="155"/>
      <x:c r="D30" s="155"/>
      <x:c r="E30" s="155"/>
      <x:c r="F30" s="155"/>
    </x:row>
  </x:sheetData>
  <x:mergeCells>
    <x:mergeCell ref="A1:F1"/>
    <x:mergeCell ref="A2:F2"/>
    <x:mergeCell ref="A4:C4"/>
    <x:mergeCell ref="A20:C20"/>
    <x:mergeCell ref="E20:F20"/>
    <x:mergeCell ref="A29:F30"/>
  </x:mergeCells>
  <x:pageMargins left="0.7" right="0.7" top="0.75" bottom="0.75" header="0.3" footer="0.3"/>
  <x:legacyDrawing xmlns:r="http://schemas.openxmlformats.org/officeDocument/2006/relationships" r:id="Re4e50c8b3bf24c37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7" hidden="0" customWidth="1"/>
    <x:col min="3" max="3" width="17" hidden="0" customWidth="1"/>
    <x:col min="4" max="4" width="17" hidden="0" customWidth="1"/>
  </x:cols>
  <x:sheetData>
    <x:row r="1" ht="25" customHeight="1">
      <x:c r="A1" s="133" t="str">
        <x:v>United Airlines — WACC / Terminal Growth Sensitivity</x:v>
      </x:c>
      <x:c r="B1" s="133"/>
      <x:c r="C1" s="133"/>
      <x:c r="D1" s="133"/>
    </x:row>
    <x:row r="2">
      <x:c r="A2" s="135" t="str">
        <x:v>Implied value per share; base operating forecast held constant; 10.0% terminal ROIC and normalized terminal reinvestment. This isolates valuation inputs and is not the operating bear case.</x:v>
      </x:c>
      <x:c r="B2" s="135"/>
      <x:c r="C2" s="135"/>
      <x:c r="D2" s="135"/>
    </x:row>
    <x:row r="4">
      <x:c r="A4" s="137" t="str">
        <x:v>Per-Share Valuation ($)</x:v>
      </x:c>
      <x:c r="B4" s="137"/>
      <x:c r="C4" s="137"/>
      <x:c r="D4" s="137"/>
    </x:row>
    <x:row r="5">
      <x:c r="A5" s="151" t="str">
        <x:v>TGR / WACC</x:v>
      </x:c>
      <x:c r="B5" s="168" t="n">
        <x:v>0.085</x:v>
      </x:c>
      <x:c r="C5" s="168" t="n">
        <x:v>0.09</x:v>
      </x:c>
      <x:c r="D5" s="168" t="n">
        <x:v>0.095</x:v>
      </x:c>
    </x:row>
    <x:row r="6">
      <x:c r="A6" s="167" t="n">
        <x:v>0.02</x:v>
      </x:c>
      <x:c r="B6" s="169" t="n">
        <x:f>(B$13+('UAL DCF'!$J$27*(1-$A6/'UAL Inputs'!$G$62)*(1+$A6))/(B$5-$A6)/B$14-'UAL Inputs'!$B$42)/'UAL Inputs'!$B$39</x:f>
        <x:v>134.8897291166978</x:v>
      </x:c>
      <x:c r="C6" s="169" t="n">
        <x:f>(C$13+('UAL DCF'!$J$27*(1-$A6/'UAL Inputs'!$G$62)*(1+$A6))/(C$5-$A6)/C$14-'UAL Inputs'!$B$42)/'UAL Inputs'!$B$39</x:f>
        <x:v>118.95854810035677</x:v>
      </x:c>
      <x:c r="D6" s="169" t="n">
        <x:f>(D$13+('UAL DCF'!$J$27*(1-$A6/'UAL Inputs'!$G$62)*(1+$A6))/(D$5-$A6)/D$14-'UAL Inputs'!$B$42)/'UAL Inputs'!$B$39</x:f>
        <x:v>105.20582285955786</x:v>
      </x:c>
    </x:row>
    <x:row r="7">
      <x:c r="A7" s="167" t="n">
        <x:v>0.025</x:v>
      </x:c>
      <x:c r="B7" s="169" t="n">
        <x:f>(B$13+('UAL DCF'!$J$27*(1-$A7/'UAL Inputs'!$G$62)*(1+$A7))/(B$5-$A7)/B$14-'UAL Inputs'!$B$42)/'UAL Inputs'!$B$39</x:f>
        <x:v>138.1581782727164</x:v>
      </x:c>
      <x:c r="C7" s="171" t="n">
        <x:f>(C$13+('UAL DCF'!$J$27*(1-$A7/'UAL Inputs'!$G$62)*(1+$A7))/(C$5-$A7)/C$14-'UAL Inputs'!$B$42)/'UAL Inputs'!$B$39</x:f>
        <x:v>121.04558114611267</x:v>
      </x:c>
      <x:c r="D7" s="169" t="n">
        <x:f>(D$13+('UAL DCF'!$J$27*(1-$A7/'UAL Inputs'!$G$62)*(1+$A7))/(D$5-$A7)/D$14-'UAL Inputs'!$B$42)/'UAL Inputs'!$B$39</x:f>
        <x:v>106.4274101584134</x:v>
      </x:c>
    </x:row>
    <x:row r="8">
      <x:c r="A8" s="167" t="n">
        <x:v>0.03</x:v>
      </x:c>
      <x:c r="B8" s="169" t="n">
        <x:f>(B$13+('UAL DCF'!$J$27*(1-$A8/'UAL Inputs'!$G$62)*(1+$A8))/(B$5-$A8)/B$14-'UAL Inputs'!$B$42)/'UAL Inputs'!$B$39</x:f>
        <x:v>141.90601469933733</x:v>
      </x:c>
      <x:c r="C8" s="169" t="n">
        <x:f>(C$13+('UAL DCF'!$J$27*(1-$A8/'UAL Inputs'!$G$62)*(1+$A8))/(C$5-$A8)/C$14-'UAL Inputs'!$B$42)/'UAL Inputs'!$B$39</x:f>
        <x:v>123.37801505701144</x:v>
      </x:c>
      <x:c r="D8" s="169" t="n">
        <x:f>(D$13+('UAL DCF'!$J$27*(1-$A8/'UAL Inputs'!$G$62)*(1+$A8))/(D$5-$A8)/D$14-'UAL Inputs'!$B$42)/'UAL Inputs'!$B$39</x:f>
        <x:v>107.7449370729941</x:v>
      </x:c>
    </x:row>
    <x:row r="10">
      <x:c r="A10" s="144" t="str">
        <x:v>Minimum</x:v>
      </x:c>
      <x:c r="B10" s="170" t="n">
        <x:f>MIN(B6:D8)</x:f>
        <x:v>105.20582285955786</x:v>
      </x:c>
    </x:row>
    <x:row r="11">
      <x:c r="A11" s="144" t="str">
        <x:v>Maximum</x:v>
      </x:c>
      <x:c r="B11" s="170" t="n">
        <x:f>MAX(B6:D8)</x:f>
        <x:v>141.90601469933733</x:v>
      </x:c>
    </x:row>
    <x:row r="12">
      <x:c r="A12" s="151" t="str">
        <x:v>Helper</x:v>
      </x:c>
      <x:c r="B12" s="168" t="n">
        <x:v>0.085</x:v>
      </x:c>
      <x:c r="C12" s="168" t="n">
        <x:v>0.09</x:v>
      </x:c>
      <x:c r="D12" s="168" t="n">
        <x:v>0.095</x:v>
      </x:c>
    </x:row>
    <x:row r="13">
      <x:c r="A13" t="str">
        <x:v>PV of forecast UFCF</x:v>
      </x:c>
      <x:c r="B13" s="77" t="n">
        <x:f>'UAL DCF'!$E$32/(1+B$12)^1+'UAL DCF'!$F$32/(1+B$12)^2+'UAL DCF'!$G$32/(1+B$12)^3+'UAL DCF'!$H$32/(1+B$12)^4+'UAL DCF'!$I$32/(1+B$12)^5+'UAL DCF'!$J$32/(1+B$12)^6</x:f>
        <x:v>10681.824919041777</x:v>
      </x:c>
      <x:c r="C13" s="77" t="n">
        <x:f>'UAL DCF'!$E$32/(1+C$12)^1+'UAL DCF'!$F$32/(1+C$12)^2+'UAL DCF'!$G$32/(1+C$12)^3+'UAL DCF'!$H$32/(1+C$12)^4+'UAL DCF'!$I$32/(1+C$12)^5+'UAL DCF'!$J$32/(1+C$12)^6</x:f>
        <x:v>10490.155247814115</x:v>
      </x:c>
      <x:c r="D13" s="77" t="n">
        <x:f>'UAL DCF'!$E$32/(1+D$12)^1+'UAL DCF'!$F$32/(1+D$12)^2+'UAL DCF'!$G$32/(1+D$12)^3+'UAL DCF'!$H$32/(1+D$12)^4+'UAL DCF'!$I$32/(1+D$12)^5+'UAL DCF'!$J$32/(1+D$12)^6</x:f>
        <x:v>10303.350557389173</x:v>
      </x:c>
    </x:row>
    <x:row r="14">
      <x:c r="A14" t="str">
        <x:v>Year-6 discount factor</x:v>
      </x:c>
      <x:c r="B14" s="51" t="n">
        <x:f>(1+B$12)^6</x:f>
        <x:v>1.6314675088432653</x:v>
      </x:c>
      <x:c r="C14" s="51" t="n">
        <x:f>(1+C$12)^6</x:f>
        <x:v>1.6771001108410006</x:v>
      </x:c>
      <x:c r="D14" s="51" t="n">
        <x:f>(1+D$12)^6</x:f>
        <x:v>1.7237914213231404</x:v>
      </x:c>
    </x:row>
    <x:row r="16" ht="26" customHeight="1">
      <x:c r="A16" s="155" t="str">
        <x:v>Reading the grid: each cell recalculates the valuation using the WACC column and TGR row while holding operating performance constant. The center cell ties to the base DCF. Operating downside from load-factor and fuel-price misses is shown separately on UAL Scenarios.</x:v>
      </x:c>
      <x:c r="B16" s="155"/>
      <x:c r="C16" s="155"/>
      <x:c r="D16" s="155"/>
    </x:row>
    <x:row r="17" ht="26" customHeight="1">
      <x:c r="A17" s="155"/>
      <x:c r="B17" s="155"/>
      <x:c r="C17" s="155"/>
      <x:c r="D17" s="155"/>
    </x:row>
  </x:sheetData>
  <x:mergeCells>
    <x:mergeCell ref="A1:D1"/>
    <x:mergeCell ref="A2:D2"/>
    <x:mergeCell ref="A4:D4"/>
    <x:mergeCell ref="A16:D17"/>
  </x:mergeCells>
  <x:conditionalFormatting sqref="B6:D8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</x:worksheet>
</file>